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b\Desktop\כרמיאל משתכן הגרלה 2279\"/>
    </mc:Choice>
  </mc:AlternateContent>
  <xr:revisionPtr revIDLastSave="0" documentId="13_ncr:1_{D4E8386B-231B-41D2-AE91-E84FC7533CEB}" xr6:coauthVersionLast="47" xr6:coauthVersionMax="47" xr10:uidLastSave="{00000000-0000-0000-0000-000000000000}"/>
  <bookViews>
    <workbookView xWindow="-120" yWindow="-120" windowWidth="29040" windowHeight="15720" tabRatio="882" xr2:uid="{00000000-000D-0000-FFFF-FFFF00000000}"/>
  </bookViews>
  <sheets>
    <sheet name="ג 4 לבקרה " sheetId="18" r:id="rId1"/>
    <sheet name="יחס יח&quot;ד בבניניים" sheetId="20" r:id="rId2"/>
  </sheets>
  <externalReferences>
    <externalReference r:id="rId3"/>
    <externalReference r:id="rId4"/>
  </externalReferences>
  <definedNames>
    <definedName name="_xlnm._FilterDatabase" localSheetId="0" hidden="1">'ג 4 לבקרה '!$A$11:$T$153</definedName>
    <definedName name="גינות" localSheetId="0">[1]!טבלה9[#All]</definedName>
    <definedName name="חניות_מחסנים_101_1">#REF!</definedName>
    <definedName name="חניות_מחסנים_101_2">#REF!</definedName>
    <definedName name="טיפוס_A">[1]!Table2[#All]</definedName>
    <definedName name="טיפוסי_דירות" localSheetId="0">[1]!טבלה2[#All]</definedName>
    <definedName name="מרפסות_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8" l="1"/>
  <c r="H21" i="20"/>
  <c r="G21" i="20"/>
  <c r="F21" i="20"/>
  <c r="L21" i="18"/>
  <c r="L43" i="18" l="1"/>
  <c r="L53" i="18" s="1"/>
  <c r="L63" i="18" s="1"/>
  <c r="L34" i="18"/>
  <c r="O61" i="18" l="1"/>
  <c r="O57" i="18"/>
  <c r="O50" i="18"/>
  <c r="O46" i="18"/>
  <c r="O29" i="18"/>
  <c r="O25" i="18"/>
  <c r="L144" i="18" l="1"/>
  <c r="O144" i="18" s="1"/>
  <c r="L142" i="18"/>
  <c r="L137" i="18"/>
  <c r="O137" i="18" s="1"/>
  <c r="L136" i="18"/>
  <c r="L129" i="18"/>
  <c r="L120" i="18"/>
  <c r="L118" i="18"/>
  <c r="L113" i="18"/>
  <c r="L112" i="18"/>
  <c r="O112" i="18" s="1"/>
  <c r="L110" i="18"/>
  <c r="L105" i="18"/>
  <c r="O105" i="18" s="1"/>
  <c r="L102" i="18"/>
  <c r="L96" i="18"/>
  <c r="O96" i="18" s="1"/>
  <c r="L94" i="18"/>
  <c r="L89" i="18"/>
  <c r="O89" i="18" s="1"/>
  <c r="L88" i="18"/>
  <c r="L81" i="18"/>
  <c r="L73" i="18"/>
  <c r="L70" i="18"/>
  <c r="L71" i="18" l="1"/>
  <c r="L79" i="18" s="1"/>
  <c r="I149" i="18"/>
  <c r="I148" i="18"/>
  <c r="L148" i="18" s="1"/>
  <c r="I147" i="18"/>
  <c r="I146" i="18"/>
  <c r="L146" i="18" s="1"/>
  <c r="I141" i="18"/>
  <c r="L141" i="18" s="1"/>
  <c r="I140" i="18"/>
  <c r="I139" i="18"/>
  <c r="L139" i="18" s="1"/>
  <c r="I138" i="18"/>
  <c r="I133" i="18"/>
  <c r="L133" i="18" s="1"/>
  <c r="I132" i="18"/>
  <c r="I131" i="18"/>
  <c r="L131" i="18" s="1"/>
  <c r="I130" i="18"/>
  <c r="I125" i="18"/>
  <c r="I124" i="18"/>
  <c r="L124" i="18" s="1"/>
  <c r="I123" i="18"/>
  <c r="I122" i="18"/>
  <c r="L122" i="18" s="1"/>
  <c r="I117" i="18"/>
  <c r="I116" i="18"/>
  <c r="L116" i="18" s="1"/>
  <c r="I115" i="18"/>
  <c r="I114" i="18"/>
  <c r="L114" i="18" s="1"/>
  <c r="I109" i="18"/>
  <c r="L109" i="18" s="1"/>
  <c r="I108" i="18"/>
  <c r="I107" i="18"/>
  <c r="L107" i="18" s="1"/>
  <c r="I106" i="18"/>
  <c r="I101" i="18"/>
  <c r="I100" i="18"/>
  <c r="L100" i="18" s="1"/>
  <c r="I99" i="18"/>
  <c r="I98" i="18"/>
  <c r="L98" i="18" s="1"/>
  <c r="I93" i="18"/>
  <c r="L93" i="18" s="1"/>
  <c r="I92" i="18"/>
  <c r="I91" i="18"/>
  <c r="L91" i="18" s="1"/>
  <c r="I90" i="18"/>
  <c r="I85" i="18"/>
  <c r="L85" i="18" s="1"/>
  <c r="I84" i="18"/>
  <c r="I83" i="18"/>
  <c r="L83" i="18" s="1"/>
  <c r="I82" i="18"/>
  <c r="I77" i="18"/>
  <c r="L77" i="18" s="1"/>
  <c r="I76" i="18"/>
  <c r="I75" i="18"/>
  <c r="L75" i="18" s="1"/>
  <c r="I74" i="18"/>
  <c r="I69" i="18"/>
  <c r="I68" i="18"/>
  <c r="I67" i="18"/>
  <c r="I66" i="18"/>
  <c r="I61" i="18"/>
  <c r="I60" i="18"/>
  <c r="I59" i="18"/>
  <c r="I58" i="18"/>
  <c r="I57" i="18"/>
  <c r="I56" i="18"/>
  <c r="I51" i="18"/>
  <c r="I50" i="18"/>
  <c r="I49" i="18"/>
  <c r="I48" i="18"/>
  <c r="I47" i="18"/>
  <c r="I46" i="18"/>
  <c r="I41" i="18"/>
  <c r="I40" i="18"/>
  <c r="I39" i="18"/>
  <c r="I38" i="18"/>
  <c r="I37" i="18"/>
  <c r="I36" i="18"/>
  <c r="I31" i="18"/>
  <c r="I30" i="18"/>
  <c r="I29" i="18"/>
  <c r="I28" i="18"/>
  <c r="I27" i="18"/>
  <c r="I26" i="18"/>
  <c r="I25" i="18"/>
  <c r="I24" i="18"/>
  <c r="I19" i="18"/>
  <c r="I18" i="18"/>
  <c r="I17" i="18"/>
  <c r="I16" i="18"/>
  <c r="I15" i="18"/>
  <c r="I14" i="18"/>
  <c r="L87" i="18" l="1"/>
  <c r="L95" i="18" s="1"/>
  <c r="L103" i="18" s="1"/>
  <c r="L111" i="18" s="1"/>
  <c r="L119" i="18" s="1"/>
  <c r="L127" i="18" s="1"/>
  <c r="L135" i="18" s="1"/>
  <c r="L143" i="18" s="1"/>
  <c r="L151" i="18" s="1"/>
  <c r="O136" i="18"/>
  <c r="O31" i="18" l="1"/>
  <c r="O69" i="18"/>
  <c r="O67" i="18"/>
  <c r="O65" i="18"/>
  <c r="O59" i="18"/>
  <c r="O48" i="18"/>
  <c r="O41" i="18"/>
  <c r="O39" i="18"/>
  <c r="O37" i="18"/>
  <c r="O35" i="18"/>
  <c r="O27" i="18"/>
  <c r="O18" i="18"/>
  <c r="O16" i="18"/>
  <c r="O14" i="18"/>
  <c r="O12" i="18"/>
  <c r="O56" i="18" l="1"/>
  <c r="O147" i="18" l="1"/>
  <c r="O148" i="18"/>
  <c r="O149" i="18"/>
  <c r="O150" i="18"/>
  <c r="I25" i="20"/>
  <c r="J25" i="20"/>
  <c r="H9" i="20"/>
  <c r="H22" i="20"/>
  <c r="G22" i="20" s="1"/>
  <c r="H23" i="20"/>
  <c r="G23" i="20" s="1"/>
  <c r="H24" i="20"/>
  <c r="G24" i="20" s="1"/>
  <c r="F22" i="20"/>
  <c r="F23" i="20"/>
  <c r="F24" i="20"/>
  <c r="Y3" i="18"/>
  <c r="X6" i="18"/>
  <c r="O102" i="18"/>
  <c r="O94" i="18"/>
  <c r="O146" i="18" l="1"/>
  <c r="O141" i="18"/>
  <c r="O139" i="18"/>
  <c r="O133" i="18"/>
  <c r="O131" i="18"/>
  <c r="O129" i="18"/>
  <c r="O124" i="18"/>
  <c r="O122" i="18"/>
  <c r="O120" i="18"/>
  <c r="O116" i="18"/>
  <c r="O114" i="18"/>
  <c r="O113" i="18"/>
  <c r="O109" i="18"/>
  <c r="O107" i="18"/>
  <c r="O100" i="18"/>
  <c r="O98" i="18"/>
  <c r="O93" i="18"/>
  <c r="O91" i="18"/>
  <c r="O88" i="18"/>
  <c r="O85" i="18"/>
  <c r="O83" i="18"/>
  <c r="O81" i="18"/>
  <c r="O77" i="18"/>
  <c r="O75" i="18"/>
  <c r="O73" i="18"/>
  <c r="G155" i="18" l="1"/>
  <c r="H10" i="20"/>
  <c r="H11" i="20"/>
  <c r="H12" i="20"/>
  <c r="H13" i="20"/>
  <c r="H14" i="20"/>
  <c r="H15" i="20"/>
  <c r="G15" i="20" s="1"/>
  <c r="H16" i="20"/>
  <c r="H17" i="20"/>
  <c r="G17" i="20" s="1"/>
  <c r="H18" i="20"/>
  <c r="G18" i="20" s="1"/>
  <c r="H19" i="20"/>
  <c r="G19" i="20" s="1"/>
  <c r="H20" i="20"/>
  <c r="G20" i="20" s="1"/>
  <c r="F20" i="20"/>
  <c r="F19" i="20"/>
  <c r="F18" i="20"/>
  <c r="F17" i="20"/>
  <c r="F16" i="20"/>
  <c r="F15" i="20"/>
  <c r="G16" i="20" l="1"/>
  <c r="H25" i="20"/>
  <c r="W4" i="18"/>
  <c r="Z3" i="18"/>
  <c r="Y5" i="18" l="1"/>
  <c r="Y4" i="18"/>
  <c r="Z4" i="18" s="1"/>
  <c r="W6" i="18"/>
  <c r="Z2" i="18"/>
  <c r="AA2" i="18"/>
  <c r="AA4" i="18" l="1"/>
  <c r="Z5" i="18"/>
  <c r="Y6" i="18"/>
  <c r="Z6" i="18" s="1"/>
  <c r="O134" i="18"/>
  <c r="O145" i="18"/>
  <c r="O142" i="18"/>
  <c r="O140" i="18"/>
  <c r="O138" i="18"/>
  <c r="O128" i="18"/>
  <c r="O132" i="18"/>
  <c r="O130" i="18"/>
  <c r="O126" i="18"/>
  <c r="O125" i="18"/>
  <c r="O123" i="18"/>
  <c r="O121" i="18"/>
  <c r="O118" i="18"/>
  <c r="O117" i="18"/>
  <c r="O115" i="18"/>
  <c r="O110" i="18"/>
  <c r="O108" i="18"/>
  <c r="O106" i="18"/>
  <c r="O104" i="18"/>
  <c r="O101" i="18"/>
  <c r="O99" i="18"/>
  <c r="O97" i="18"/>
  <c r="O92" i="18"/>
  <c r="O90" i="18"/>
  <c r="O86" i="18"/>
  <c r="O84" i="18"/>
  <c r="O82" i="18"/>
  <c r="O80" i="18"/>
  <c r="O78" i="18"/>
  <c r="O76" i="18"/>
  <c r="O74" i="18"/>
  <c r="O72" i="18"/>
  <c r="O70" i="18"/>
  <c r="O68" i="18"/>
  <c r="O66" i="18"/>
  <c r="O64" i="18"/>
  <c r="O62" i="18"/>
  <c r="O60" i="18"/>
  <c r="O58" i="18"/>
  <c r="O55" i="18"/>
  <c r="O42" i="18"/>
  <c r="O40" i="18"/>
  <c r="O32" i="18"/>
  <c r="O34" i="18"/>
  <c r="O36" i="18"/>
  <c r="O38" i="18"/>
  <c r="O30" i="18"/>
  <c r="O28" i="18"/>
  <c r="O26" i="18"/>
  <c r="O24" i="18"/>
  <c r="O23" i="18"/>
  <c r="O22" i="18"/>
  <c r="G4" i="20"/>
  <c r="F9" i="20"/>
  <c r="G10" i="20"/>
  <c r="F11" i="20"/>
  <c r="F12" i="20"/>
  <c r="F13" i="20"/>
  <c r="G14" i="20"/>
  <c r="F14" i="20" l="1"/>
  <c r="F10" i="20"/>
  <c r="G11" i="20"/>
  <c r="G12" i="20"/>
  <c r="I31" i="20"/>
  <c r="G13" i="20"/>
  <c r="G9" i="20"/>
  <c r="C9" i="20" s="1"/>
  <c r="E21" i="20" l="1"/>
  <c r="B21" i="20"/>
  <c r="D21" i="20"/>
  <c r="K21" i="20"/>
  <c r="B18" i="20"/>
  <c r="K22" i="20"/>
  <c r="K23" i="20"/>
  <c r="E24" i="20"/>
  <c r="B19" i="20"/>
  <c r="B17" i="20"/>
  <c r="E23" i="20"/>
  <c r="D22" i="20"/>
  <c r="K24" i="20"/>
  <c r="D23" i="20"/>
  <c r="B16" i="20"/>
  <c r="D24" i="20"/>
  <c r="B15" i="20"/>
  <c r="E22" i="20"/>
  <c r="B20" i="20"/>
  <c r="B23" i="20"/>
  <c r="B22" i="20"/>
  <c r="B24" i="20"/>
  <c r="D16" i="20"/>
  <c r="E16" i="20"/>
  <c r="D17" i="20"/>
  <c r="E19" i="20"/>
  <c r="D18" i="20"/>
  <c r="D20" i="20"/>
  <c r="D19" i="20"/>
  <c r="E20" i="20"/>
  <c r="E15" i="20"/>
  <c r="E17" i="20"/>
  <c r="E18" i="20"/>
  <c r="D15" i="20"/>
  <c r="K20" i="20"/>
  <c r="K19" i="20"/>
  <c r="K18" i="20"/>
  <c r="K17" i="20"/>
  <c r="K16" i="20"/>
  <c r="K13" i="20"/>
  <c r="K15" i="20"/>
  <c r="K10" i="20"/>
  <c r="K14" i="20"/>
  <c r="K9" i="20"/>
  <c r="B9" i="20"/>
  <c r="B14" i="20"/>
  <c r="B12" i="20"/>
  <c r="K12" i="20"/>
  <c r="D11" i="20"/>
  <c r="E12" i="20"/>
  <c r="D10" i="20"/>
  <c r="E11" i="20"/>
  <c r="D14" i="20"/>
  <c r="D9" i="20"/>
  <c r="E10" i="20"/>
  <c r="D13" i="20"/>
  <c r="E14" i="20"/>
  <c r="E9" i="20"/>
  <c r="B11" i="20"/>
  <c r="D12" i="20"/>
  <c r="E13" i="20"/>
  <c r="K11" i="20"/>
  <c r="B10" i="20"/>
  <c r="B13" i="20"/>
  <c r="E9" i="18" l="1"/>
  <c r="O20" i="18" l="1"/>
  <c r="O19" i="18"/>
  <c r="O17" i="18"/>
  <c r="O15" i="18"/>
  <c r="O13" i="18"/>
  <c r="E8" i="18"/>
  <c r="M154" i="18" l="1"/>
  <c r="M155" i="18"/>
  <c r="G154" i="18"/>
  <c r="O45" i="18"/>
  <c r="O47" i="18"/>
  <c r="O49" i="18"/>
  <c r="O51" i="18"/>
  <c r="O52" i="18"/>
  <c r="O54" i="18"/>
  <c r="O44" i="18"/>
</calcChain>
</file>

<file path=xl/sharedStrings.xml><?xml version="1.0" encoding="utf-8"?>
<sst xmlns="http://schemas.openxmlformats.org/spreadsheetml/2006/main" count="847" uniqueCount="139">
  <si>
    <r>
      <t xml:space="preserve">הצהרה על דירות - </t>
    </r>
    <r>
      <rPr>
        <b/>
        <u/>
        <sz val="14"/>
        <color rgb="FFFF0000"/>
        <rFont val="Arial"/>
        <family val="2"/>
        <scheme val="minor"/>
      </rPr>
      <t>לפי מכרז מחיר מטרה</t>
    </r>
  </si>
  <si>
    <t>כמות חדרים</t>
  </si>
  <si>
    <t>סה"כ</t>
  </si>
  <si>
    <t>דירות לשוק חופשי</t>
  </si>
  <si>
    <t>משתכן ביחידות</t>
  </si>
  <si>
    <t>משתכן באחוזים</t>
  </si>
  <si>
    <t>ממוצע דירות קטנות/ גדולות</t>
  </si>
  <si>
    <t>נספח ג'4 לחוזה - דוגמא</t>
  </si>
  <si>
    <t>שם ישוב:</t>
  </si>
  <si>
    <t>שם קבלן/יזם:</t>
  </si>
  <si>
    <t>ספייס בניה ויזמות בע"מ</t>
  </si>
  <si>
    <t>מספר מתחם:</t>
  </si>
  <si>
    <t>מספר הגרלה:</t>
  </si>
  <si>
    <t>מחיר מ"ר כולל מע"מ בש"ח (ללא הצמדה)</t>
  </si>
  <si>
    <t>מספר יח"ד במתחם:</t>
  </si>
  <si>
    <t>מספר יח"ד במחיר למשתכן:</t>
  </si>
  <si>
    <t>אחוז דירות מחיר למשתכן:</t>
  </si>
  <si>
    <t>אחוז דירות חריגות :</t>
  </si>
  <si>
    <t>מספר/שם מבנה</t>
  </si>
  <si>
    <t>מספר מגרש בתב"ע</t>
  </si>
  <si>
    <t>מספר דירה</t>
  </si>
  <si>
    <t xml:space="preserve">טיפוס דירה (תשריט) </t>
  </si>
  <si>
    <t>קומה</t>
  </si>
  <si>
    <t>מספר חדרים</t>
  </si>
  <si>
    <t>שטח דירה (מטר)</t>
  </si>
  <si>
    <t>שטח מרפסת שמש ו/או שטח גינה צמודה</t>
  </si>
  <si>
    <t>שטח מחושב</t>
  </si>
  <si>
    <t>שטח מחסן</t>
  </si>
  <si>
    <t>מספר חניות</t>
  </si>
  <si>
    <t>מחיר דירה
לפי
מחיר מ"ר עיקרי  בנוי ללא מקדמי קומות</t>
  </si>
  <si>
    <t xml:space="preserve">חישוב מחיר דירה לאחר תוספת/הפחת מקדמי קומות </t>
  </si>
  <si>
    <t>חישוב מחיר דירה לאחר הנחה ( 20% עד ל300 אש"ח)</t>
  </si>
  <si>
    <t>הערות</t>
  </si>
  <si>
    <t>מספר מחסן</t>
  </si>
  <si>
    <t>קרקע</t>
  </si>
  <si>
    <t>כן</t>
  </si>
  <si>
    <t>דירת גן</t>
  </si>
  <si>
    <t>תקין</t>
  </si>
  <si>
    <t>פנטהאוז</t>
  </si>
  <si>
    <t>סה"כ שטח דירות מחיר למשתכן במתחם</t>
  </si>
  <si>
    <t>מספר דירות מחיר למשתכן</t>
  </si>
  <si>
    <t>שטח דירה ממוצע במתחם</t>
  </si>
  <si>
    <t>אחוז דירות מחיר למשתכן</t>
  </si>
  <si>
    <t xml:space="preserve">                     יזם / קבלן                          אדריכל                              מודד                                 עו"ד              </t>
  </si>
  <si>
    <t xml:space="preserve">   
      תאריך:       ______________     ______________        ________________     ________________
      חתימה:      ______________     ______________        ________________     ________________</t>
  </si>
  <si>
    <t>מספר בניין</t>
  </si>
  <si>
    <t>יחס שוק חופשי</t>
  </si>
  <si>
    <t>אחוז מינמלי לשוק חופשי</t>
  </si>
  <si>
    <t>אחוז מקסימלי לשוק חופשי</t>
  </si>
  <si>
    <t>אחוז יח"ד שוק חופשי</t>
  </si>
  <si>
    <t>אחוז יח"ד משתכן</t>
  </si>
  <si>
    <t>יח"ד משתכן</t>
  </si>
  <si>
    <t>יח"ד שוק חופשי</t>
  </si>
  <si>
    <t>סה"כ דירות</t>
  </si>
  <si>
    <t>אחוז שוק חופשי במתחם</t>
  </si>
  <si>
    <t>כרמיאל רמת רבין</t>
  </si>
  <si>
    <t>1T</t>
  </si>
  <si>
    <t>2R</t>
  </si>
  <si>
    <t>E</t>
  </si>
  <si>
    <t>C</t>
  </si>
  <si>
    <t>D</t>
  </si>
  <si>
    <t>A</t>
  </si>
  <si>
    <t>B</t>
  </si>
  <si>
    <t>D3</t>
  </si>
  <si>
    <t>3T</t>
  </si>
  <si>
    <t>4R</t>
  </si>
  <si>
    <t>5R</t>
  </si>
  <si>
    <t>6T</t>
  </si>
  <si>
    <t>7P</t>
  </si>
  <si>
    <t>8R</t>
  </si>
  <si>
    <t>9R</t>
  </si>
  <si>
    <t>10R</t>
  </si>
  <si>
    <t>11R</t>
  </si>
  <si>
    <t>12R</t>
  </si>
  <si>
    <t>13R</t>
  </si>
  <si>
    <t>14R</t>
  </si>
  <si>
    <t>15R</t>
  </si>
  <si>
    <t>16R</t>
  </si>
  <si>
    <t>D1</t>
  </si>
  <si>
    <t>A+</t>
  </si>
  <si>
    <t>C-</t>
  </si>
  <si>
    <t>B-</t>
  </si>
  <si>
    <t>D2</t>
  </si>
  <si>
    <t>לא</t>
  </si>
  <si>
    <t>102/1T</t>
  </si>
  <si>
    <t>102/2R</t>
  </si>
  <si>
    <t>102/3T</t>
  </si>
  <si>
    <t>102/4R</t>
  </si>
  <si>
    <t>102/5R</t>
  </si>
  <si>
    <t>102/6T</t>
  </si>
  <si>
    <t>103/7P</t>
  </si>
  <si>
    <t>103/8R</t>
  </si>
  <si>
    <t>103/9R</t>
  </si>
  <si>
    <t>103/10R</t>
  </si>
  <si>
    <t>103/11R</t>
  </si>
  <si>
    <t>103/12R</t>
  </si>
  <si>
    <t>103/13R</t>
  </si>
  <si>
    <t>103/14R</t>
  </si>
  <si>
    <t>103/15R</t>
  </si>
  <si>
    <t>103/16R</t>
  </si>
  <si>
    <r>
      <t>מכירה במסגרת מחיר מטרה (</t>
    </r>
    <r>
      <rPr>
        <b/>
        <sz val="14"/>
        <rFont val="Arial"/>
        <family val="2"/>
        <scheme val="minor"/>
      </rPr>
      <t>כן</t>
    </r>
    <r>
      <rPr>
        <b/>
        <sz val="14"/>
        <color theme="3"/>
        <rFont val="Arial"/>
        <family val="2"/>
        <scheme val="minor"/>
      </rPr>
      <t>/</t>
    </r>
    <r>
      <rPr>
        <b/>
        <sz val="14"/>
        <color rgb="FF00B050"/>
        <rFont val="Arial"/>
        <family val="2"/>
        <scheme val="minor"/>
      </rPr>
      <t>לא</t>
    </r>
    <r>
      <rPr>
        <b/>
        <sz val="14"/>
        <color theme="3"/>
        <rFont val="Arial"/>
        <family val="2"/>
        <scheme val="minor"/>
      </rPr>
      <t>)</t>
    </r>
  </si>
  <si>
    <t>C_1</t>
  </si>
  <si>
    <t>E_1</t>
  </si>
  <si>
    <t>C_2</t>
  </si>
  <si>
    <t>E_2</t>
  </si>
  <si>
    <t>A_1</t>
  </si>
  <si>
    <t>B_1</t>
  </si>
  <si>
    <t>A_2</t>
  </si>
  <si>
    <t>B_2</t>
  </si>
  <si>
    <t>A_4</t>
  </si>
  <si>
    <t>B_3</t>
  </si>
  <si>
    <t>A_3</t>
  </si>
  <si>
    <t>E_3</t>
  </si>
  <si>
    <t>C_3</t>
  </si>
  <si>
    <t>B_4</t>
  </si>
  <si>
    <t>A_5</t>
  </si>
  <si>
    <t>A_6</t>
  </si>
  <si>
    <t>B_5</t>
  </si>
  <si>
    <t>E_4</t>
  </si>
  <si>
    <t>C_4</t>
  </si>
  <si>
    <t>A+_1</t>
  </si>
  <si>
    <t>C-_1</t>
  </si>
  <si>
    <t>A+_2</t>
  </si>
  <si>
    <t>A+_3</t>
  </si>
  <si>
    <t>C-_2</t>
  </si>
  <si>
    <t>A+_4</t>
  </si>
  <si>
    <t>A _2</t>
  </si>
  <si>
    <t>C_5</t>
  </si>
  <si>
    <t>C_6</t>
  </si>
  <si>
    <t>C_7</t>
  </si>
  <si>
    <t>B-_1</t>
  </si>
  <si>
    <t>15.9.25</t>
  </si>
  <si>
    <t>סהכ שטח דירות שוק חופשי</t>
  </si>
  <si>
    <t>סהכ שטח דירות במתחם</t>
  </si>
  <si>
    <t>20.4.26</t>
  </si>
  <si>
    <t>שטח דירה ממוצע בבניין</t>
  </si>
  <si>
    <t>אחוז דירות מחיר למשתכן בבניין</t>
  </si>
  <si>
    <t>81.82%</t>
  </si>
  <si>
    <t>88.89%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</si>
</sst>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164" formatCode="0.0%"/>
    <numFmt numFmtId="165" formatCode="_ &quot;₪&quot;\ * #,##0_ ;_ &quot;₪&quot;\ * \-#,##0_ ;_ &quot;₪&quot;\ * &quot;-&quot;??_ ;_ @_ "/>
  </numFmts>
  <fonts count="37" x14ac:knownFonts="1">
    <font>
      <sz val="11"/>
      <color theme="1"/>
      <name val="Arial"/>
      <family val="2"/>
      <charset val="177"/>
      <scheme val="minor"/>
    </font>
    <font>
      <b/>
      <sz val="11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4"/>
      <color theme="3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u/>
      <sz val="14"/>
      <color rgb="FFFF0000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4"/>
      <color rgb="FFFF0000"/>
      <name val="Arial"/>
      <family val="2"/>
      <scheme val="minor"/>
    </font>
    <font>
      <sz val="11"/>
      <name val="Arial"/>
      <family val="2"/>
      <charset val="177"/>
      <scheme val="minor"/>
    </font>
    <font>
      <sz val="8"/>
      <name val="Arial"/>
      <family val="2"/>
      <charset val="177"/>
      <scheme val="minor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color theme="3"/>
      <name val="Arial"/>
      <family val="2"/>
      <scheme val="minor"/>
    </font>
    <font>
      <b/>
      <sz val="14"/>
      <color rgb="FF0070C0"/>
      <name val="Arial"/>
      <family val="2"/>
      <scheme val="minor"/>
    </font>
    <font>
      <sz val="14"/>
      <color theme="3"/>
      <name val="Arial"/>
      <family val="2"/>
      <scheme val="minor"/>
    </font>
    <font>
      <sz val="14"/>
      <name val="Arial"/>
      <family val="2"/>
      <scheme val="minor"/>
    </font>
    <font>
      <b/>
      <sz val="14"/>
      <color rgb="FF00B050"/>
      <name val="Arial"/>
      <family val="2"/>
      <scheme val="minor"/>
    </font>
    <font>
      <b/>
      <sz val="14"/>
      <name val="Arial"/>
      <family val="2"/>
      <scheme val="minor"/>
    </font>
    <font>
      <b/>
      <sz val="12"/>
      <color rgb="FF00B050"/>
      <name val="Arial"/>
      <family val="2"/>
      <scheme val="minor"/>
    </font>
    <font>
      <b/>
      <sz val="12"/>
      <name val="Arial"/>
      <family val="2"/>
      <scheme val="minor"/>
    </font>
    <font>
      <sz val="24"/>
      <color rgb="FFFF0000"/>
      <name val="Arial"/>
      <family val="2"/>
      <charset val="177"/>
      <scheme val="minor"/>
    </font>
    <font>
      <sz val="14"/>
      <color rgb="FF00B050"/>
      <name val="Arial"/>
      <family val="2"/>
      <scheme val="minor"/>
    </font>
    <font>
      <sz val="11"/>
      <color rgb="FF00B050"/>
      <name val="Arial"/>
      <family val="2"/>
      <scheme val="minor"/>
    </font>
    <font>
      <b/>
      <sz val="11"/>
      <color rgb="FF00B05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11"/>
      <name val="Arial"/>
      <family val="2"/>
      <scheme val="minor"/>
    </font>
    <font>
      <b/>
      <sz val="16"/>
      <color rgb="FF7030A0"/>
      <name val="Arial"/>
      <family val="2"/>
      <scheme val="minor"/>
    </font>
    <font>
      <b/>
      <sz val="11"/>
      <color rgb="FF0070C0"/>
      <name val="Arial"/>
      <family val="2"/>
    </font>
    <font>
      <sz val="11"/>
      <name val="Arial"/>
      <family val="2"/>
    </font>
    <font>
      <sz val="11"/>
      <color rgb="FF0070C0"/>
      <name val="Arial"/>
      <family val="2"/>
    </font>
    <font>
      <sz val="11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sz val="11"/>
      <color rgb="FFFF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rgb="FF0070C0"/>
      </bottom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 style="double">
        <color indexed="64"/>
      </bottom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 style="double">
        <color rgb="FF0070C0"/>
      </bottom>
      <diagonal/>
    </border>
    <border>
      <left/>
      <right/>
      <top/>
      <bottom style="double">
        <color indexed="64"/>
      </bottom>
      <diagonal/>
    </border>
    <border>
      <left style="double">
        <color rgb="FF0070C0"/>
      </left>
      <right/>
      <top style="double">
        <color rgb="FF0070C0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theme="1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 style="double">
        <color theme="1"/>
      </right>
      <top/>
      <bottom style="double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3" borderId="1" applyNumberFormat="0" applyFont="0" applyAlignment="0" applyProtection="0"/>
  </cellStyleXfs>
  <cellXfs count="299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14" fillId="0" borderId="0" xfId="0" applyFont="1" applyAlignment="1" applyProtection="1">
      <alignment horizontal="right" indent="4"/>
      <protection locked="0"/>
    </xf>
    <xf numFmtId="3" fontId="14" fillId="0" borderId="0" xfId="0" applyNumberFormat="1" applyFont="1" applyProtection="1">
      <protection locked="0"/>
    </xf>
    <xf numFmtId="9" fontId="14" fillId="0" borderId="0" xfId="0" applyNumberFormat="1" applyFont="1" applyProtection="1">
      <protection locked="0"/>
    </xf>
    <xf numFmtId="0" fontId="24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2" fontId="17" fillId="0" borderId="0" xfId="0" applyNumberFormat="1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7" fillId="0" borderId="0" xfId="0" applyFont="1" applyProtection="1">
      <protection locked="0"/>
    </xf>
    <xf numFmtId="164" fontId="17" fillId="0" borderId="0" xfId="0" applyNumberFormat="1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164" fontId="16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3" fontId="19" fillId="0" borderId="7" xfId="0" applyNumberFormat="1" applyFont="1" applyBorder="1" applyAlignment="1" applyProtection="1">
      <alignment horizontal="center" vertical="center"/>
      <protection locked="0"/>
    </xf>
    <xf numFmtId="0" fontId="19" fillId="5" borderId="7" xfId="0" applyFont="1" applyFill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3" fontId="19" fillId="0" borderId="0" xfId="0" applyNumberFormat="1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7" xfId="0" applyFont="1" applyBorder="1" applyProtection="1">
      <protection locked="0"/>
    </xf>
    <xf numFmtId="0" fontId="18" fillId="0" borderId="7" xfId="0" applyFont="1" applyBorder="1" applyProtection="1">
      <protection locked="0"/>
    </xf>
    <xf numFmtId="9" fontId="16" fillId="0" borderId="7" xfId="0" applyNumberFormat="1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14" fillId="0" borderId="11" xfId="0" applyFont="1" applyBorder="1" applyProtection="1"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 applyProtection="1">
      <alignment horizontal="center" vertical="center"/>
      <protection locked="0"/>
    </xf>
    <xf numFmtId="3" fontId="20" fillId="0" borderId="7" xfId="0" applyNumberFormat="1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/>
      <protection locked="0"/>
    </xf>
    <xf numFmtId="0" fontId="27" fillId="0" borderId="7" xfId="0" applyFont="1" applyBorder="1" applyAlignment="1" applyProtection="1">
      <alignment horizontal="center" vertical="center"/>
      <protection locked="0"/>
    </xf>
    <xf numFmtId="0" fontId="20" fillId="5" borderId="7" xfId="0" applyFont="1" applyFill="1" applyBorder="1" applyAlignment="1" applyProtection="1">
      <alignment horizontal="center"/>
      <protection locked="0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 applyProtection="1">
      <alignment horizontal="center" vertical="center"/>
      <protection locked="0"/>
    </xf>
    <xf numFmtId="3" fontId="20" fillId="5" borderId="7" xfId="0" applyNumberFormat="1" applyFont="1" applyFill="1" applyBorder="1" applyAlignment="1" applyProtection="1">
      <alignment horizontal="center" vertical="center"/>
      <protection locked="0"/>
    </xf>
    <xf numFmtId="0" fontId="27" fillId="5" borderId="7" xfId="0" applyFont="1" applyFill="1" applyBorder="1" applyAlignment="1" applyProtection="1">
      <alignment horizontal="center" vertical="center"/>
      <protection locked="0"/>
    </xf>
    <xf numFmtId="0" fontId="20" fillId="6" borderId="7" xfId="0" applyFont="1" applyFill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 shrinkToFit="1"/>
      <protection locked="0"/>
    </xf>
    <xf numFmtId="3" fontId="20" fillId="0" borderId="7" xfId="0" applyNumberFormat="1" applyFont="1" applyBorder="1" applyAlignment="1" applyProtection="1">
      <alignment horizontal="center" vertical="center" shrinkToFit="1"/>
      <protection locked="0"/>
    </xf>
    <xf numFmtId="0" fontId="20" fillId="5" borderId="7" xfId="0" applyFont="1" applyFill="1" applyBorder="1" applyAlignment="1" applyProtection="1">
      <alignment horizontal="center" vertical="center" shrinkToFit="1"/>
      <protection locked="0"/>
    </xf>
    <xf numFmtId="0" fontId="20" fillId="5" borderId="7" xfId="0" applyFont="1" applyFill="1" applyBorder="1" applyAlignment="1">
      <alignment horizontal="center" vertical="center" shrinkToFit="1"/>
    </xf>
    <xf numFmtId="3" fontId="20" fillId="5" borderId="7" xfId="0" applyNumberFormat="1" applyFont="1" applyFill="1" applyBorder="1" applyAlignment="1" applyProtection="1">
      <alignment horizontal="center" vertical="center" shrinkToFit="1"/>
      <protection locked="0"/>
    </xf>
    <xf numFmtId="0" fontId="20" fillId="5" borderId="7" xfId="0" applyFont="1" applyFill="1" applyBorder="1" applyProtection="1">
      <protection locked="0"/>
    </xf>
    <xf numFmtId="164" fontId="20" fillId="5" borderId="7" xfId="0" applyNumberFormat="1" applyFont="1" applyFill="1" applyBorder="1" applyAlignment="1" applyProtection="1">
      <alignment horizontal="center"/>
      <protection locked="0"/>
    </xf>
    <xf numFmtId="0" fontId="15" fillId="7" borderId="2" xfId="0" applyFont="1" applyFill="1" applyBorder="1" applyAlignment="1" applyProtection="1">
      <alignment horizontal="center" vertical="center"/>
      <protection locked="0"/>
    </xf>
    <xf numFmtId="0" fontId="15" fillId="7" borderId="7" xfId="0" applyFont="1" applyFill="1" applyBorder="1" applyAlignment="1" applyProtection="1">
      <alignment horizontal="center" vertical="center" wrapText="1"/>
      <protection locked="0"/>
    </xf>
    <xf numFmtId="0" fontId="15" fillId="7" borderId="7" xfId="0" applyFont="1" applyFill="1" applyBorder="1" applyAlignment="1" applyProtection="1">
      <alignment horizontal="center" vertical="center"/>
      <protection locked="0"/>
    </xf>
    <xf numFmtId="165" fontId="11" fillId="7" borderId="7" xfId="1" applyNumberFormat="1" applyFont="1" applyFill="1" applyBorder="1" applyAlignment="1" applyProtection="1">
      <alignment horizontal="center" vertical="center" wrapText="1"/>
      <protection locked="0"/>
    </xf>
    <xf numFmtId="165" fontId="15" fillId="7" borderId="7" xfId="1" applyNumberFormat="1" applyFont="1" applyFill="1" applyBorder="1" applyAlignment="1" applyProtection="1">
      <alignment horizontal="center" vertical="center" wrapText="1"/>
      <protection locked="0"/>
    </xf>
    <xf numFmtId="0" fontId="14" fillId="7" borderId="7" xfId="0" applyFont="1" applyFill="1" applyBorder="1" applyAlignment="1" applyProtection="1">
      <alignment horizontal="center" vertical="center"/>
      <protection locked="0"/>
    </xf>
    <xf numFmtId="0" fontId="11" fillId="7" borderId="7" xfId="0" applyFont="1" applyFill="1" applyBorder="1" applyAlignment="1" applyProtection="1">
      <alignment horizontal="center" vertical="center"/>
      <protection locked="0"/>
    </xf>
    <xf numFmtId="9" fontId="14" fillId="7" borderId="7" xfId="2" applyFont="1" applyFill="1" applyBorder="1" applyAlignment="1" applyProtection="1">
      <alignment horizontal="center" vertical="center"/>
      <protection locked="0"/>
    </xf>
    <xf numFmtId="0" fontId="15" fillId="8" borderId="7" xfId="3" applyFont="1" applyFill="1" applyBorder="1" applyAlignment="1" applyProtection="1">
      <alignment horizontal="center" vertical="center"/>
      <protection locked="0"/>
    </xf>
    <xf numFmtId="0" fontId="11" fillId="8" borderId="7" xfId="3" applyFont="1" applyFill="1" applyBorder="1" applyAlignment="1" applyProtection="1">
      <alignment horizontal="center" vertical="center"/>
      <protection locked="0"/>
    </xf>
    <xf numFmtId="9" fontId="15" fillId="8" borderId="7" xfId="3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29" fillId="5" borderId="7" xfId="0" applyFont="1" applyFill="1" applyBorder="1" applyAlignment="1" applyProtection="1">
      <alignment horizontal="center" vertical="center"/>
      <protection locked="0"/>
    </xf>
    <xf numFmtId="0" fontId="29" fillId="0" borderId="7" xfId="0" applyFont="1" applyBorder="1" applyAlignment="1" applyProtection="1">
      <alignment horizontal="center" vertical="center"/>
      <protection locked="0"/>
    </xf>
    <xf numFmtId="0" fontId="29" fillId="0" borderId="9" xfId="0" applyFont="1" applyBorder="1" applyAlignment="1" applyProtection="1">
      <alignment horizontal="center" vertical="center"/>
      <protection locked="0"/>
    </xf>
    <xf numFmtId="2" fontId="0" fillId="0" borderId="0" xfId="0" applyNumberFormat="1" applyProtection="1">
      <protection locked="0"/>
    </xf>
    <xf numFmtId="2" fontId="20" fillId="5" borderId="10" xfId="0" applyNumberFormat="1" applyFont="1" applyFill="1" applyBorder="1" applyAlignment="1" applyProtection="1">
      <alignment horizontal="center" vertical="center"/>
      <protection locked="0"/>
    </xf>
    <xf numFmtId="2" fontId="20" fillId="5" borderId="10" xfId="0" applyNumberFormat="1" applyFont="1" applyFill="1" applyBorder="1" applyAlignment="1">
      <alignment horizontal="center" vertical="center"/>
    </xf>
    <xf numFmtId="2" fontId="20" fillId="5" borderId="10" xfId="0" applyNumberFormat="1" applyFont="1" applyFill="1" applyBorder="1" applyAlignment="1" applyProtection="1">
      <alignment horizontal="center" vertical="center" shrinkToFit="1"/>
      <protection locked="0"/>
    </xf>
    <xf numFmtId="2" fontId="14" fillId="0" borderId="0" xfId="0" applyNumberFormat="1" applyFont="1" applyProtection="1">
      <protection locked="0"/>
    </xf>
    <xf numFmtId="2" fontId="14" fillId="0" borderId="0" xfId="0" applyNumberFormat="1" applyFont="1" applyAlignment="1" applyProtection="1">
      <alignment horizontal="right"/>
      <protection locked="0"/>
    </xf>
    <xf numFmtId="2" fontId="6" fillId="0" borderId="0" xfId="0" applyNumberFormat="1" applyFont="1" applyAlignment="1" applyProtection="1">
      <alignment horizontal="center" vertical="center"/>
      <protection locked="0"/>
    </xf>
    <xf numFmtId="2" fontId="20" fillId="5" borderId="17" xfId="0" applyNumberFormat="1" applyFont="1" applyFill="1" applyBorder="1" applyAlignment="1" applyProtection="1">
      <alignment horizontal="center" vertical="center"/>
      <protection locked="0"/>
    </xf>
    <xf numFmtId="2" fontId="14" fillId="0" borderId="11" xfId="0" applyNumberFormat="1" applyFont="1" applyBorder="1" applyProtection="1">
      <protection locked="0"/>
    </xf>
    <xf numFmtId="1" fontId="17" fillId="0" borderId="0" xfId="0" applyNumberFormat="1" applyFont="1" applyAlignment="1" applyProtection="1">
      <alignment horizontal="center"/>
      <protection locked="0"/>
    </xf>
    <xf numFmtId="0" fontId="21" fillId="6" borderId="7" xfId="0" applyFont="1" applyFill="1" applyBorder="1" applyAlignment="1" applyProtection="1">
      <alignment horizontal="center"/>
      <protection locked="0"/>
    </xf>
    <xf numFmtId="2" fontId="14" fillId="6" borderId="17" xfId="0" applyNumberFormat="1" applyFont="1" applyFill="1" applyBorder="1" applyAlignment="1" applyProtection="1">
      <alignment horizontal="center" vertical="center"/>
      <protection locked="0"/>
    </xf>
    <xf numFmtId="2" fontId="19" fillId="6" borderId="7" xfId="0" applyNumberFormat="1" applyFont="1" applyFill="1" applyBorder="1" applyAlignment="1">
      <alignment horizontal="center" vertical="center"/>
    </xf>
    <xf numFmtId="0" fontId="19" fillId="6" borderId="7" xfId="0" applyFont="1" applyFill="1" applyBorder="1" applyAlignment="1" applyProtection="1">
      <alignment horizontal="center" vertical="center"/>
      <protection locked="0"/>
    </xf>
    <xf numFmtId="2" fontId="20" fillId="6" borderId="7" xfId="0" applyNumberFormat="1" applyFont="1" applyFill="1" applyBorder="1" applyAlignment="1">
      <alignment horizontal="center" vertical="center"/>
    </xf>
    <xf numFmtId="2" fontId="20" fillId="6" borderId="16" xfId="0" applyNumberFormat="1" applyFont="1" applyFill="1" applyBorder="1" applyAlignment="1" applyProtection="1">
      <alignment horizontal="center" vertical="center"/>
      <protection locked="0"/>
    </xf>
    <xf numFmtId="2" fontId="20" fillId="5" borderId="7" xfId="0" applyNumberFormat="1" applyFont="1" applyFill="1" applyBorder="1" applyAlignment="1" applyProtection="1">
      <alignment horizontal="center" vertical="center"/>
      <protection locked="0"/>
    </xf>
    <xf numFmtId="0" fontId="20" fillId="5" borderId="19" xfId="0" applyFont="1" applyFill="1" applyBorder="1" applyAlignment="1" applyProtection="1">
      <alignment horizontal="center" vertical="center"/>
      <protection locked="0"/>
    </xf>
    <xf numFmtId="2" fontId="20" fillId="5" borderId="7" xfId="0" applyNumberFormat="1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2" fontId="20" fillId="5" borderId="7" xfId="0" applyNumberFormat="1" applyFont="1" applyFill="1" applyBorder="1" applyAlignment="1">
      <alignment horizontal="center" vertical="center" shrinkToFit="1"/>
    </xf>
    <xf numFmtId="2" fontId="20" fillId="5" borderId="19" xfId="0" applyNumberFormat="1" applyFont="1" applyFill="1" applyBorder="1" applyAlignment="1" applyProtection="1">
      <alignment horizontal="center" vertical="center" shrinkToFit="1"/>
      <protection locked="0"/>
    </xf>
    <xf numFmtId="2" fontId="20" fillId="6" borderId="7" xfId="0" applyNumberFormat="1" applyFont="1" applyFill="1" applyBorder="1" applyAlignment="1">
      <alignment horizontal="center" vertical="center" shrinkToFit="1"/>
    </xf>
    <xf numFmtId="2" fontId="20" fillId="6" borderId="10" xfId="0" applyNumberFormat="1" applyFont="1" applyFill="1" applyBorder="1" applyAlignment="1" applyProtection="1">
      <alignment horizontal="center" vertical="center" shrinkToFit="1"/>
      <protection locked="0"/>
    </xf>
    <xf numFmtId="2" fontId="20" fillId="6" borderId="17" xfId="0" applyNumberFormat="1" applyFont="1" applyFill="1" applyBorder="1" applyAlignment="1" applyProtection="1">
      <alignment horizontal="center" vertical="center"/>
      <protection locked="0"/>
    </xf>
    <xf numFmtId="2" fontId="20" fillId="6" borderId="19" xfId="0" applyNumberFormat="1" applyFont="1" applyFill="1" applyBorder="1" applyAlignment="1">
      <alignment horizontal="center" vertical="center" shrinkToFit="1"/>
    </xf>
    <xf numFmtId="2" fontId="19" fillId="6" borderId="10" xfId="0" applyNumberFormat="1" applyFont="1" applyFill="1" applyBorder="1" applyAlignment="1" applyProtection="1">
      <alignment horizontal="center" vertical="center"/>
      <protection locked="0"/>
    </xf>
    <xf numFmtId="0" fontId="19" fillId="6" borderId="19" xfId="0" applyFont="1" applyFill="1" applyBorder="1" applyAlignment="1" applyProtection="1">
      <alignment horizontal="center" vertical="center"/>
      <protection locked="0"/>
    </xf>
    <xf numFmtId="2" fontId="20" fillId="6" borderId="10" xfId="0" applyNumberFormat="1" applyFont="1" applyFill="1" applyBorder="1" applyAlignment="1" applyProtection="1">
      <alignment horizontal="center" vertical="center"/>
      <protection locked="0"/>
    </xf>
    <xf numFmtId="0" fontId="20" fillId="6" borderId="19" xfId="0" applyFont="1" applyFill="1" applyBorder="1" applyAlignment="1" applyProtection="1">
      <alignment horizontal="center" vertical="center"/>
      <protection locked="0"/>
    </xf>
    <xf numFmtId="2" fontId="20" fillId="6" borderId="7" xfId="0" applyNumberFormat="1" applyFont="1" applyFill="1" applyBorder="1" applyAlignment="1" applyProtection="1">
      <alignment horizontal="center" vertical="center"/>
      <protection locked="0"/>
    </xf>
    <xf numFmtId="0" fontId="20" fillId="6" borderId="19" xfId="0" applyFont="1" applyFill="1" applyBorder="1" applyAlignment="1">
      <alignment horizontal="center" vertical="center"/>
    </xf>
    <xf numFmtId="2" fontId="19" fillId="6" borderId="17" xfId="0" applyNumberFormat="1" applyFont="1" applyFill="1" applyBorder="1" applyAlignment="1" applyProtection="1">
      <alignment horizontal="center" vertical="center"/>
      <protection locked="0"/>
    </xf>
    <xf numFmtId="0" fontId="19" fillId="6" borderId="19" xfId="0" applyFont="1" applyFill="1" applyBorder="1" applyAlignment="1">
      <alignment horizontal="center" vertical="center"/>
    </xf>
    <xf numFmtId="2" fontId="20" fillId="6" borderId="19" xfId="0" applyNumberFormat="1" applyFont="1" applyFill="1" applyBorder="1" applyAlignment="1" applyProtection="1">
      <alignment horizontal="center" vertical="center" shrinkToFit="1"/>
      <protection locked="0"/>
    </xf>
    <xf numFmtId="2" fontId="20" fillId="6" borderId="10" xfId="0" applyNumberFormat="1" applyFont="1" applyFill="1" applyBorder="1" applyAlignment="1">
      <alignment horizontal="center" vertical="center"/>
    </xf>
    <xf numFmtId="2" fontId="20" fillId="6" borderId="17" xfId="0" applyNumberFormat="1" applyFont="1" applyFill="1" applyBorder="1" applyAlignment="1">
      <alignment horizontal="center" vertical="center"/>
    </xf>
    <xf numFmtId="2" fontId="20" fillId="6" borderId="19" xfId="0" applyNumberFormat="1" applyFont="1" applyFill="1" applyBorder="1" applyAlignment="1">
      <alignment horizontal="center" vertical="center"/>
    </xf>
    <xf numFmtId="2" fontId="16" fillId="0" borderId="15" xfId="0" applyNumberFormat="1" applyFont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/>
    </xf>
    <xf numFmtId="2" fontId="0" fillId="0" borderId="17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9" fontId="12" fillId="0" borderId="1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25" fillId="5" borderId="7" xfId="0" applyFont="1" applyFill="1" applyBorder="1" applyAlignment="1" applyProtection="1">
      <alignment horizontal="center" vertical="center"/>
      <protection locked="0"/>
    </xf>
    <xf numFmtId="0" fontId="26" fillId="5" borderId="7" xfId="0" applyFont="1" applyFill="1" applyBorder="1" applyAlignment="1" applyProtection="1">
      <alignment horizontal="center" vertical="center"/>
      <protection locked="0"/>
    </xf>
    <xf numFmtId="2" fontId="20" fillId="5" borderId="21" xfId="0" applyNumberFormat="1" applyFont="1" applyFill="1" applyBorder="1" applyAlignment="1" applyProtection="1">
      <alignment horizontal="center" vertical="center"/>
      <protection locked="0"/>
    </xf>
    <xf numFmtId="0" fontId="30" fillId="2" borderId="0" xfId="0" applyFont="1" applyFill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3" fontId="17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vertical="center" wrapText="1" readingOrder="2"/>
      <protection locked="0"/>
    </xf>
    <xf numFmtId="0" fontId="4" fillId="0" borderId="0" xfId="0" applyFont="1" applyAlignment="1" applyProtection="1">
      <alignment vertical="center" wrapText="1" readingOrder="2"/>
      <protection locked="0"/>
    </xf>
    <xf numFmtId="0" fontId="5" fillId="0" borderId="0" xfId="0" applyFont="1" applyAlignment="1" applyProtection="1">
      <alignment vertical="center" wrapText="1"/>
      <protection locked="0"/>
    </xf>
    <xf numFmtId="2" fontId="5" fillId="0" borderId="0" xfId="0" applyNumberFormat="1" applyFont="1" applyAlignment="1" applyProtection="1">
      <alignment vertical="center" wrapText="1"/>
      <protection locked="0"/>
    </xf>
    <xf numFmtId="4" fontId="16" fillId="0" borderId="7" xfId="0" applyNumberFormat="1" applyFont="1" applyBorder="1" applyAlignment="1" applyProtection="1">
      <alignment horizontal="center"/>
      <protection locked="0"/>
    </xf>
    <xf numFmtId="0" fontId="32" fillId="0" borderId="23" xfId="0" applyFont="1" applyBorder="1"/>
    <xf numFmtId="2" fontId="31" fillId="0" borderId="23" xfId="0" applyNumberFormat="1" applyFont="1" applyBorder="1" applyAlignment="1">
      <alignment horizontal="center"/>
    </xf>
    <xf numFmtId="164" fontId="31" fillId="0" borderId="24" xfId="0" applyNumberFormat="1" applyFont="1" applyBorder="1" applyAlignment="1">
      <alignment horizontal="center"/>
    </xf>
    <xf numFmtId="164" fontId="31" fillId="0" borderId="25" xfId="0" applyNumberFormat="1" applyFont="1" applyBorder="1" applyAlignment="1">
      <alignment horizontal="center"/>
    </xf>
    <xf numFmtId="49" fontId="31" fillId="0" borderId="23" xfId="0" applyNumberFormat="1" applyFont="1" applyBorder="1" applyAlignment="1">
      <alignment horizontal="center"/>
    </xf>
    <xf numFmtId="10" fontId="31" fillId="0" borderId="23" xfId="0" applyNumberFormat="1" applyFont="1" applyBorder="1" applyAlignment="1">
      <alignment horizontal="center"/>
    </xf>
    <xf numFmtId="2" fontId="33" fillId="0" borderId="23" xfId="0" applyNumberFormat="1" applyFont="1" applyBorder="1" applyAlignment="1">
      <alignment horizontal="center"/>
    </xf>
    <xf numFmtId="164" fontId="33" fillId="0" borderId="24" xfId="0" applyNumberFormat="1" applyFont="1" applyBorder="1" applyAlignment="1">
      <alignment horizontal="center"/>
    </xf>
    <xf numFmtId="10" fontId="33" fillId="0" borderId="23" xfId="0" applyNumberFormat="1" applyFont="1" applyBorder="1" applyAlignment="1">
      <alignment horizontal="center"/>
    </xf>
    <xf numFmtId="0" fontId="34" fillId="0" borderId="0" xfId="0" applyFont="1"/>
    <xf numFmtId="10" fontId="34" fillId="0" borderId="0" xfId="0" applyNumberFormat="1" applyFont="1"/>
    <xf numFmtId="10" fontId="0" fillId="0" borderId="0" xfId="0" applyNumberFormat="1"/>
    <xf numFmtId="164" fontId="15" fillId="7" borderId="7" xfId="2" applyNumberFormat="1" applyFont="1" applyFill="1" applyBorder="1" applyAlignment="1" applyProtection="1">
      <alignment horizontal="center" vertical="center"/>
      <protection locked="0"/>
    </xf>
    <xf numFmtId="164" fontId="15" fillId="7" borderId="8" xfId="2" applyNumberFormat="1" applyFont="1" applyFill="1" applyBorder="1" applyAlignment="1" applyProtection="1">
      <alignment horizontal="center" vertical="center"/>
      <protection locked="0"/>
    </xf>
    <xf numFmtId="164" fontId="15" fillId="7" borderId="9" xfId="2" applyNumberFormat="1" applyFont="1" applyFill="1" applyBorder="1" applyAlignment="1" applyProtection="1">
      <alignment horizontal="center" vertical="center"/>
      <protection locked="0"/>
    </xf>
    <xf numFmtId="0" fontId="21" fillId="2" borderId="7" xfId="0" applyFont="1" applyFill="1" applyBorder="1" applyAlignment="1" applyProtection="1">
      <alignment horizontal="center"/>
      <protection locked="0"/>
    </xf>
    <xf numFmtId="0" fontId="19" fillId="2" borderId="7" xfId="0" applyFont="1" applyFill="1" applyBorder="1" applyAlignment="1" applyProtection="1">
      <alignment horizontal="center" vertical="center"/>
      <protection locked="0"/>
    </xf>
    <xf numFmtId="2" fontId="19" fillId="2" borderId="7" xfId="0" applyNumberFormat="1" applyFont="1" applyFill="1" applyBorder="1" applyAlignment="1">
      <alignment horizontal="center" vertical="center"/>
    </xf>
    <xf numFmtId="2" fontId="19" fillId="2" borderId="7" xfId="0" applyNumberFormat="1" applyFont="1" applyFill="1" applyBorder="1" applyAlignment="1" applyProtection="1">
      <alignment horizontal="center" vertical="center"/>
      <protection locked="0"/>
    </xf>
    <xf numFmtId="3" fontId="19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9" fillId="2" borderId="7" xfId="0" applyFont="1" applyFill="1" applyBorder="1" applyAlignment="1">
      <alignment horizontal="center" vertical="center"/>
    </xf>
    <xf numFmtId="0" fontId="21" fillId="2" borderId="7" xfId="0" applyFont="1" applyFill="1" applyBorder="1" applyAlignment="1" applyProtection="1">
      <alignment horizontal="center" vertical="center"/>
      <protection locked="0"/>
    </xf>
    <xf numFmtId="2" fontId="19" fillId="2" borderId="10" xfId="0" applyNumberFormat="1" applyFont="1" applyFill="1" applyBorder="1" applyAlignment="1" applyProtection="1">
      <alignment horizontal="center" vertical="center"/>
      <protection locked="0"/>
    </xf>
    <xf numFmtId="2" fontId="19" fillId="2" borderId="17" xfId="0" applyNumberFormat="1" applyFont="1" applyFill="1" applyBorder="1" applyAlignment="1" applyProtection="1">
      <alignment horizontal="center" vertical="center"/>
      <protection locked="0"/>
    </xf>
    <xf numFmtId="0" fontId="19" fillId="2" borderId="19" xfId="0" applyFont="1" applyFill="1" applyBorder="1" applyAlignment="1" applyProtection="1">
      <alignment horizontal="center" vertical="center"/>
      <protection locked="0"/>
    </xf>
    <xf numFmtId="2" fontId="14" fillId="2" borderId="17" xfId="0" applyNumberFormat="1" applyFont="1" applyFill="1" applyBorder="1" applyAlignment="1" applyProtection="1">
      <alignment horizontal="center" vertical="center"/>
      <protection locked="0"/>
    </xf>
    <xf numFmtId="0" fontId="32" fillId="2" borderId="23" xfId="0" applyFont="1" applyFill="1" applyBorder="1"/>
    <xf numFmtId="2" fontId="31" fillId="2" borderId="23" xfId="0" applyNumberFormat="1" applyFont="1" applyFill="1" applyBorder="1" applyAlignment="1">
      <alignment horizontal="center"/>
    </xf>
    <xf numFmtId="164" fontId="31" fillId="2" borderId="24" xfId="0" applyNumberFormat="1" applyFont="1" applyFill="1" applyBorder="1" applyAlignment="1">
      <alignment horizontal="center"/>
    </xf>
    <xf numFmtId="49" fontId="31" fillId="2" borderId="23" xfId="0" applyNumberFormat="1" applyFont="1" applyFill="1" applyBorder="1" applyAlignment="1">
      <alignment horizontal="center"/>
    </xf>
    <xf numFmtId="0" fontId="15" fillId="2" borderId="0" xfId="0" applyFont="1" applyFill="1" applyProtection="1">
      <protection locked="0"/>
    </xf>
    <xf numFmtId="0" fontId="19" fillId="2" borderId="19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2" fontId="19" fillId="2" borderId="7" xfId="0" applyNumberFormat="1" applyFont="1" applyFill="1" applyBorder="1" applyAlignment="1">
      <alignment horizontal="center" vertical="center" shrinkToFit="1"/>
    </xf>
    <xf numFmtId="2" fontId="19" fillId="2" borderId="10" xfId="0" applyNumberFormat="1" applyFont="1" applyFill="1" applyBorder="1" applyAlignment="1" applyProtection="1">
      <alignment horizontal="center" vertical="center" shrinkToFit="1"/>
      <protection locked="0"/>
    </xf>
    <xf numFmtId="2" fontId="19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7" xfId="0" applyFont="1" applyFill="1" applyBorder="1" applyAlignment="1" applyProtection="1">
      <alignment horizontal="center" vertical="center" shrinkToFit="1"/>
      <protection locked="0"/>
    </xf>
    <xf numFmtId="3" fontId="19" fillId="2" borderId="7" xfId="0" applyNumberFormat="1" applyFont="1" applyFill="1" applyBorder="1" applyAlignment="1" applyProtection="1">
      <alignment horizontal="center" vertical="center" shrinkToFit="1"/>
      <protection locked="0"/>
    </xf>
    <xf numFmtId="3" fontId="19" fillId="6" borderId="7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/>
    <xf numFmtId="3" fontId="20" fillId="6" borderId="7" xfId="0" applyNumberFormat="1" applyFont="1" applyFill="1" applyBorder="1" applyAlignment="1" applyProtection="1">
      <alignment horizontal="center" vertical="center"/>
      <protection locked="0"/>
    </xf>
    <xf numFmtId="0" fontId="35" fillId="0" borderId="7" xfId="0" applyFont="1" applyBorder="1" applyAlignment="1">
      <alignment horizontal="center" vertical="center"/>
    </xf>
    <xf numFmtId="0" fontId="35" fillId="6" borderId="0" xfId="0" applyFont="1" applyFill="1"/>
    <xf numFmtId="0" fontId="36" fillId="0" borderId="0" xfId="0" applyFont="1"/>
    <xf numFmtId="0" fontId="21" fillId="9" borderId="7" xfId="0" applyFont="1" applyFill="1" applyBorder="1" applyAlignment="1" applyProtection="1">
      <alignment horizontal="center" vertical="center"/>
      <protection locked="0"/>
    </xf>
    <xf numFmtId="0" fontId="21" fillId="9" borderId="7" xfId="0" applyFont="1" applyFill="1" applyBorder="1" applyAlignment="1" applyProtection="1">
      <alignment horizontal="center"/>
      <protection locked="0"/>
    </xf>
    <xf numFmtId="0" fontId="19" fillId="9" borderId="7" xfId="0" applyFont="1" applyFill="1" applyBorder="1" applyAlignment="1">
      <alignment horizontal="center" vertical="center"/>
    </xf>
    <xf numFmtId="2" fontId="19" fillId="9" borderId="7" xfId="0" applyNumberFormat="1" applyFont="1" applyFill="1" applyBorder="1" applyAlignment="1" applyProtection="1">
      <alignment horizontal="center" vertical="center"/>
      <protection locked="0"/>
    </xf>
    <xf numFmtId="2" fontId="19" fillId="9" borderId="10" xfId="0" applyNumberFormat="1" applyFont="1" applyFill="1" applyBorder="1" applyAlignment="1" applyProtection="1">
      <alignment horizontal="center" vertical="center"/>
      <protection locked="0"/>
    </xf>
    <xf numFmtId="2" fontId="19" fillId="9" borderId="17" xfId="0" applyNumberFormat="1" applyFont="1" applyFill="1" applyBorder="1" applyAlignment="1" applyProtection="1">
      <alignment horizontal="center" vertical="center"/>
      <protection locked="0"/>
    </xf>
    <xf numFmtId="0" fontId="19" fillId="9" borderId="19" xfId="0" applyFont="1" applyFill="1" applyBorder="1" applyAlignment="1" applyProtection="1">
      <alignment horizontal="center" vertical="center"/>
      <protection locked="0"/>
    </xf>
    <xf numFmtId="0" fontId="19" fillId="9" borderId="7" xfId="0" applyFont="1" applyFill="1" applyBorder="1" applyAlignment="1" applyProtection="1">
      <alignment horizontal="center" vertical="center"/>
      <protection locked="0"/>
    </xf>
    <xf numFmtId="3" fontId="19" fillId="9" borderId="7" xfId="0" applyNumberFormat="1" applyFont="1" applyFill="1" applyBorder="1" applyAlignment="1" applyProtection="1">
      <alignment horizontal="center" vertical="center"/>
      <protection locked="0"/>
    </xf>
    <xf numFmtId="0" fontId="0" fillId="9" borderId="0" xfId="0" applyFill="1"/>
    <xf numFmtId="0" fontId="11" fillId="9" borderId="17" xfId="0" applyFont="1" applyFill="1" applyBorder="1" applyAlignment="1">
      <alignment horizontal="center"/>
    </xf>
    <xf numFmtId="0" fontId="21" fillId="9" borderId="17" xfId="0" applyFont="1" applyFill="1" applyBorder="1" applyAlignment="1">
      <alignment horizontal="center"/>
    </xf>
    <xf numFmtId="0" fontId="20" fillId="9" borderId="17" xfId="0" applyFont="1" applyFill="1" applyBorder="1" applyAlignment="1">
      <alignment horizontal="center"/>
    </xf>
    <xf numFmtId="2" fontId="19" fillId="9" borderId="7" xfId="0" applyNumberFormat="1" applyFont="1" applyFill="1" applyBorder="1" applyAlignment="1">
      <alignment horizontal="center" vertical="center"/>
    </xf>
    <xf numFmtId="49" fontId="2" fillId="9" borderId="17" xfId="0" applyNumberFormat="1" applyFont="1" applyFill="1" applyBorder="1" applyAlignment="1">
      <alignment horizontal="center"/>
    </xf>
    <xf numFmtId="2" fontId="0" fillId="9" borderId="17" xfId="0" applyNumberFormat="1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9" fontId="0" fillId="9" borderId="17" xfId="0" applyNumberForma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22" fillId="9" borderId="17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9" fontId="10" fillId="9" borderId="17" xfId="2" applyFont="1" applyFill="1" applyBorder="1" applyAlignment="1">
      <alignment horizontal="center"/>
    </xf>
    <xf numFmtId="0" fontId="19" fillId="9" borderId="9" xfId="0" applyFont="1" applyFill="1" applyBorder="1" applyAlignment="1" applyProtection="1">
      <alignment horizontal="center" vertical="center"/>
      <protection locked="0"/>
    </xf>
    <xf numFmtId="49" fontId="2" fillId="9" borderId="17" xfId="0" applyNumberFormat="1" applyFont="1" applyFill="1" applyBorder="1" applyAlignment="1">
      <alignment horizontal="center" vertical="center"/>
    </xf>
    <xf numFmtId="0" fontId="19" fillId="9" borderId="7" xfId="0" applyFont="1" applyFill="1" applyBorder="1" applyAlignment="1" applyProtection="1">
      <alignment horizontal="center"/>
      <protection locked="0"/>
    </xf>
    <xf numFmtId="2" fontId="14" fillId="9" borderId="17" xfId="0" applyNumberFormat="1" applyFont="1" applyFill="1" applyBorder="1" applyAlignment="1" applyProtection="1">
      <alignment horizontal="center" vertical="center"/>
      <protection locked="0"/>
    </xf>
    <xf numFmtId="2" fontId="19" fillId="9" borderId="10" xfId="0" applyNumberFormat="1" applyFont="1" applyFill="1" applyBorder="1" applyAlignment="1">
      <alignment horizontal="center" vertical="center"/>
    </xf>
    <xf numFmtId="0" fontId="19" fillId="9" borderId="19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 shrinkToFit="1"/>
    </xf>
    <xf numFmtId="2" fontId="14" fillId="9" borderId="7" xfId="0" applyNumberFormat="1" applyFont="1" applyFill="1" applyBorder="1" applyAlignment="1" applyProtection="1">
      <alignment horizontal="center" vertical="center"/>
      <protection locked="0"/>
    </xf>
    <xf numFmtId="0" fontId="19" fillId="9" borderId="7" xfId="0" applyFont="1" applyFill="1" applyBorder="1" applyAlignment="1" applyProtection="1">
      <alignment horizontal="center" vertical="center" shrinkToFit="1"/>
      <protection locked="0"/>
    </xf>
    <xf numFmtId="2" fontId="19" fillId="9" borderId="7" xfId="0" applyNumberFormat="1" applyFont="1" applyFill="1" applyBorder="1" applyAlignment="1">
      <alignment horizontal="center" vertical="center" shrinkToFit="1"/>
    </xf>
    <xf numFmtId="2" fontId="19" fillId="9" borderId="10" xfId="0" applyNumberFormat="1" applyFont="1" applyFill="1" applyBorder="1" applyAlignment="1" applyProtection="1">
      <alignment horizontal="center" vertical="center" shrinkToFit="1"/>
      <protection locked="0"/>
    </xf>
    <xf numFmtId="2" fontId="19" fillId="9" borderId="19" xfId="0" applyNumberFormat="1" applyFont="1" applyFill="1" applyBorder="1" applyAlignment="1">
      <alignment horizontal="center" vertical="center" shrinkToFit="1"/>
    </xf>
    <xf numFmtId="2" fontId="14" fillId="9" borderId="20" xfId="0" applyNumberFormat="1" applyFont="1" applyFill="1" applyBorder="1" applyAlignment="1" applyProtection="1">
      <alignment horizontal="center" vertical="center"/>
      <protection locked="0"/>
    </xf>
    <xf numFmtId="0" fontId="21" fillId="9" borderId="7" xfId="0" applyFont="1" applyFill="1" applyBorder="1" applyAlignment="1" applyProtection="1">
      <alignment horizontal="center" vertical="center" shrinkToFit="1"/>
      <protection locked="0"/>
    </xf>
    <xf numFmtId="0" fontId="19" fillId="9" borderId="10" xfId="0" applyFont="1" applyFill="1" applyBorder="1" applyAlignment="1" applyProtection="1">
      <alignment horizontal="center" vertical="center"/>
      <protection locked="0"/>
    </xf>
    <xf numFmtId="164" fontId="17" fillId="9" borderId="7" xfId="0" applyNumberFormat="1" applyFont="1" applyFill="1" applyBorder="1" applyAlignment="1" applyProtection="1">
      <alignment horizontal="center"/>
      <protection locked="0"/>
    </xf>
    <xf numFmtId="0" fontId="14" fillId="9" borderId="7" xfId="0" applyFont="1" applyFill="1" applyBorder="1" applyProtection="1">
      <protection locked="0"/>
    </xf>
    <xf numFmtId="0" fontId="0" fillId="9" borderId="7" xfId="0" applyFill="1" applyBorder="1" applyProtection="1">
      <protection locked="0"/>
    </xf>
    <xf numFmtId="2" fontId="19" fillId="9" borderId="18" xfId="0" applyNumberFormat="1" applyFont="1" applyFill="1" applyBorder="1" applyAlignment="1">
      <alignment horizontal="center" vertical="center"/>
    </xf>
    <xf numFmtId="0" fontId="35" fillId="9" borderId="7" xfId="0" applyFont="1" applyFill="1" applyBorder="1" applyAlignment="1" applyProtection="1">
      <alignment horizontal="center" vertical="center"/>
      <protection locked="0"/>
    </xf>
    <xf numFmtId="0" fontId="35" fillId="9" borderId="0" xfId="0" applyFont="1" applyFill="1"/>
    <xf numFmtId="0" fontId="35" fillId="2" borderId="7" xfId="0" applyFont="1" applyFill="1" applyBorder="1" applyAlignment="1" applyProtection="1">
      <alignment horizontal="center" vertical="center"/>
      <protection locked="0"/>
    </xf>
    <xf numFmtId="0" fontId="35" fillId="2" borderId="0" xfId="0" applyFont="1" applyFill="1"/>
    <xf numFmtId="0" fontId="19" fillId="9" borderId="0" xfId="0" applyFont="1" applyFill="1"/>
    <xf numFmtId="0" fontId="35" fillId="2" borderId="7" xfId="0" applyFont="1" applyFill="1" applyBorder="1" applyAlignment="1">
      <alignment horizontal="center" vertical="center"/>
    </xf>
    <xf numFmtId="0" fontId="36" fillId="2" borderId="0" xfId="0" applyFont="1" applyFill="1"/>
    <xf numFmtId="2" fontId="19" fillId="2" borderId="10" xfId="0" applyNumberFormat="1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 shrinkToFit="1"/>
    </xf>
    <xf numFmtId="0" fontId="21" fillId="2" borderId="7" xfId="0" applyFont="1" applyFill="1" applyBorder="1" applyAlignment="1" applyProtection="1">
      <alignment horizontal="center" vertical="center" shrinkToFit="1"/>
      <protection locked="0"/>
    </xf>
    <xf numFmtId="0" fontId="20" fillId="6" borderId="7" xfId="0" applyFont="1" applyFill="1" applyBorder="1" applyAlignment="1" applyProtection="1">
      <alignment horizontal="center"/>
      <protection locked="0"/>
    </xf>
    <xf numFmtId="0" fontId="35" fillId="6" borderId="7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0" fillId="5" borderId="0" xfId="0" applyFill="1"/>
    <xf numFmtId="2" fontId="19" fillId="6" borderId="10" xfId="0" applyNumberFormat="1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 shrinkToFit="1"/>
    </xf>
    <xf numFmtId="2" fontId="19" fillId="6" borderId="7" xfId="0" applyNumberFormat="1" applyFont="1" applyFill="1" applyBorder="1" applyAlignment="1">
      <alignment horizontal="center" vertical="center" shrinkToFit="1"/>
    </xf>
    <xf numFmtId="2" fontId="19" fillId="6" borderId="10" xfId="0" applyNumberFormat="1" applyFont="1" applyFill="1" applyBorder="1" applyAlignment="1" applyProtection="1">
      <alignment horizontal="center" vertical="center" shrinkToFit="1"/>
      <protection locked="0"/>
    </xf>
    <xf numFmtId="2" fontId="19" fillId="6" borderId="19" xfId="0" applyNumberFormat="1" applyFont="1" applyFill="1" applyBorder="1" applyAlignment="1" applyProtection="1">
      <alignment horizontal="center" vertical="center" shrinkToFit="1"/>
      <protection locked="0"/>
    </xf>
    <xf numFmtId="0" fontId="19" fillId="6" borderId="7" xfId="0" applyFont="1" applyFill="1" applyBorder="1" applyAlignment="1" applyProtection="1">
      <alignment horizontal="center" vertical="center" shrinkToFit="1"/>
      <protection locked="0"/>
    </xf>
    <xf numFmtId="3" fontId="19" fillId="6" borderId="7" xfId="0" applyNumberFormat="1" applyFont="1" applyFill="1" applyBorder="1" applyAlignment="1" applyProtection="1">
      <alignment horizontal="center" vertical="center" shrinkToFit="1"/>
      <protection locked="0"/>
    </xf>
    <xf numFmtId="0" fontId="21" fillId="6" borderId="7" xfId="0" applyFont="1" applyFill="1" applyBorder="1" applyAlignment="1" applyProtection="1">
      <alignment horizontal="center" vertical="center" shrinkToFit="1"/>
      <protection locked="0"/>
    </xf>
    <xf numFmtId="0" fontId="36" fillId="6" borderId="0" xfId="0" applyFont="1" applyFill="1"/>
    <xf numFmtId="0" fontId="14" fillId="9" borderId="7" xfId="0" applyFont="1" applyFill="1" applyBorder="1" applyAlignment="1" applyProtection="1">
      <alignment horizontal="center" vertical="center"/>
      <protection locked="0"/>
    </xf>
    <xf numFmtId="0" fontId="14" fillId="9" borderId="0" xfId="0" applyFont="1" applyFill="1"/>
    <xf numFmtId="0" fontId="19" fillId="9" borderId="7" xfId="0" applyFont="1" applyFill="1" applyBorder="1" applyAlignment="1">
      <alignment horizontal="center" vertical="center" shrinkToFit="1"/>
    </xf>
    <xf numFmtId="2" fontId="19" fillId="9" borderId="19" xfId="0" applyNumberFormat="1" applyFont="1" applyFill="1" applyBorder="1" applyAlignment="1" applyProtection="1">
      <alignment horizontal="center" vertical="center" shrinkToFit="1"/>
      <protection locked="0"/>
    </xf>
    <xf numFmtId="3" fontId="19" fillId="9" borderId="7" xfId="0" applyNumberFormat="1" applyFont="1" applyFill="1" applyBorder="1" applyAlignment="1" applyProtection="1">
      <alignment horizontal="center" vertical="center" shrinkToFit="1"/>
      <protection locked="0"/>
    </xf>
    <xf numFmtId="0" fontId="14" fillId="9" borderId="7" xfId="0" applyFont="1" applyFill="1" applyBorder="1" applyAlignment="1">
      <alignment horizontal="center" vertical="center" shrinkToFit="1"/>
    </xf>
    <xf numFmtId="0" fontId="14" fillId="6" borderId="7" xfId="0" applyFont="1" applyFill="1" applyBorder="1" applyAlignment="1">
      <alignment horizontal="center" vertical="center" shrinkToFit="1"/>
    </xf>
    <xf numFmtId="0" fontId="34" fillId="6" borderId="0" xfId="0" applyFont="1" applyFill="1"/>
    <xf numFmtId="0" fontId="35" fillId="9" borderId="7" xfId="0" applyFont="1" applyFill="1" applyBorder="1" applyAlignment="1">
      <alignment horizontal="center" vertical="center"/>
    </xf>
    <xf numFmtId="0" fontId="31" fillId="0" borderId="22" xfId="0" applyFont="1" applyBorder="1" applyAlignment="1">
      <alignment horizontal="right" vertical="center"/>
    </xf>
    <xf numFmtId="0" fontId="32" fillId="0" borderId="23" xfId="0" applyFont="1" applyBorder="1"/>
    <xf numFmtId="0" fontId="31" fillId="0" borderId="23" xfId="0" applyFont="1" applyBorder="1"/>
    <xf numFmtId="0" fontId="33" fillId="0" borderId="22" xfId="0" applyFont="1" applyBorder="1" applyAlignment="1">
      <alignment horizontal="right" vertical="center"/>
    </xf>
    <xf numFmtId="0" fontId="33" fillId="0" borderId="23" xfId="0" applyFont="1" applyBorder="1"/>
    <xf numFmtId="0" fontId="31" fillId="2" borderId="22" xfId="0" applyFont="1" applyFill="1" applyBorder="1" applyAlignment="1">
      <alignment horizontal="right" vertical="center"/>
    </xf>
    <xf numFmtId="0" fontId="32" fillId="2" borderId="23" xfId="0" applyFont="1" applyFill="1" applyBorder="1"/>
    <xf numFmtId="0" fontId="31" fillId="2" borderId="23" xfId="0" applyFont="1" applyFill="1" applyBorder="1"/>
    <xf numFmtId="0" fontId="16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/>
      <protection locked="0"/>
    </xf>
    <xf numFmtId="2" fontId="5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top"/>
      <protection locked="0"/>
    </xf>
    <xf numFmtId="2" fontId="15" fillId="0" borderId="0" xfId="0" applyNumberFormat="1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right"/>
      <protection locked="0"/>
    </xf>
    <xf numFmtId="9" fontId="15" fillId="7" borderId="3" xfId="0" applyNumberFormat="1" applyFont="1" applyFill="1" applyBorder="1" applyAlignment="1" applyProtection="1">
      <alignment horizontal="center" vertical="center"/>
      <protection locked="0"/>
    </xf>
    <xf numFmtId="9" fontId="15" fillId="7" borderId="5" xfId="0" applyNumberFormat="1" applyFont="1" applyFill="1" applyBorder="1" applyAlignment="1" applyProtection="1">
      <alignment horizontal="center" vertical="center"/>
      <protection locked="0"/>
    </xf>
    <xf numFmtId="0" fontId="15" fillId="7" borderId="3" xfId="0" applyFont="1" applyFill="1" applyBorder="1" applyAlignment="1" applyProtection="1">
      <alignment horizontal="center"/>
      <protection locked="0"/>
    </xf>
    <xf numFmtId="0" fontId="15" fillId="7" borderId="5" xfId="0" applyFont="1" applyFill="1" applyBorder="1" applyAlignment="1" applyProtection="1">
      <alignment horizontal="center"/>
      <protection locked="0"/>
    </xf>
    <xf numFmtId="1" fontId="15" fillId="7" borderId="3" xfId="0" applyNumberFormat="1" applyFont="1" applyFill="1" applyBorder="1" applyAlignment="1" applyProtection="1">
      <alignment horizontal="center" vertical="center"/>
      <protection locked="0"/>
    </xf>
    <xf numFmtId="1" fontId="15" fillId="7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protection locked="0"/>
    </xf>
    <xf numFmtId="2" fontId="5" fillId="0" borderId="0" xfId="0" applyNumberFormat="1" applyFont="1" applyProtection="1">
      <protection locked="0"/>
    </xf>
    <xf numFmtId="4" fontId="15" fillId="7" borderId="3" xfId="0" applyNumberFormat="1" applyFont="1" applyFill="1" applyBorder="1" applyAlignment="1" applyProtection="1">
      <alignment horizontal="center" vertical="center"/>
      <protection locked="0"/>
    </xf>
    <xf numFmtId="4" fontId="15" fillId="7" borderId="5" xfId="0" applyNumberFormat="1" applyFont="1" applyFill="1" applyBorder="1" applyAlignment="1" applyProtection="1">
      <alignment horizontal="center" vertical="center"/>
      <protection locked="0"/>
    </xf>
    <xf numFmtId="0" fontId="15" fillId="7" borderId="3" xfId="0" applyFont="1" applyFill="1" applyBorder="1" applyAlignment="1" applyProtection="1">
      <alignment horizontal="right" wrapText="1"/>
      <protection locked="0"/>
    </xf>
    <xf numFmtId="0" fontId="15" fillId="7" borderId="4" xfId="0" applyFont="1" applyFill="1" applyBorder="1" applyAlignment="1" applyProtection="1">
      <alignment horizontal="right" wrapText="1"/>
      <protection locked="0"/>
    </xf>
    <xf numFmtId="0" fontId="15" fillId="7" borderId="5" xfId="0" applyFont="1" applyFill="1" applyBorder="1" applyAlignment="1" applyProtection="1">
      <alignment horizontal="right" wrapText="1"/>
      <protection locked="0"/>
    </xf>
    <xf numFmtId="0" fontId="15" fillId="7" borderId="3" xfId="0" applyFont="1" applyFill="1" applyBorder="1" applyAlignment="1" applyProtection="1">
      <alignment horizontal="right" vertical="center"/>
      <protection locked="0"/>
    </xf>
    <xf numFmtId="0" fontId="15" fillId="7" borderId="5" xfId="0" applyFont="1" applyFill="1" applyBorder="1" applyAlignment="1" applyProtection="1">
      <alignment horizontal="right" vertical="center"/>
      <protection locked="0"/>
    </xf>
    <xf numFmtId="0" fontId="15" fillId="7" borderId="3" xfId="0" applyFont="1" applyFill="1" applyBorder="1" applyAlignment="1" applyProtection="1">
      <alignment horizontal="center" vertical="center"/>
      <protection locked="0"/>
    </xf>
    <xf numFmtId="0" fontId="15" fillId="7" borderId="5" xfId="0" applyFont="1" applyFill="1" applyBorder="1" applyAlignment="1" applyProtection="1">
      <alignment horizontal="center" vertical="center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1" fillId="2" borderId="0" xfId="0" applyFont="1" applyFill="1" applyAlignment="1">
      <alignment horizontal="center"/>
    </xf>
    <xf numFmtId="0" fontId="10" fillId="9" borderId="17" xfId="0" applyFont="1" applyFill="1" applyBorder="1" applyAlignment="1">
      <alignment horizontal="center"/>
    </xf>
  </cellXfs>
  <cellStyles count="4">
    <cellStyle name="Currency" xfId="1" builtinId="4"/>
    <cellStyle name="Normal" xfId="0" builtinId="0"/>
    <cellStyle name="Percent" xfId="2" builtinId="5"/>
    <cellStyle name="הערה" xfId="3" builtinId="1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1835</xdr:col>
      <xdr:colOff>600075</xdr:colOff>
      <xdr:row>0</xdr:row>
      <xdr:rowOff>85725</xdr:rowOff>
    </xdr:from>
    <xdr:to>
      <xdr:col>1840</xdr:col>
      <xdr:colOff>304800</xdr:colOff>
      <xdr:row>11</xdr:row>
      <xdr:rowOff>19050</xdr:rowOff>
    </xdr:to>
    <xdr:sp macro="" textlink="">
      <xdr:nvSpPr>
        <xdr:cNvPr id="6" name="Line Callout 2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73284600" y="85725"/>
          <a:ext cx="3133725" cy="3019425"/>
        </a:xfrm>
        <a:prstGeom prst="borderCallout2">
          <a:avLst>
            <a:gd name="adj1" fmla="val 46243"/>
            <a:gd name="adj2" fmla="val 100156"/>
            <a:gd name="adj3" fmla="val 54809"/>
            <a:gd name="adj4" fmla="val 180393"/>
            <a:gd name="adj5" fmla="val 75184"/>
            <a:gd name="adj6" fmla="val 191053"/>
          </a:avLst>
        </a:prstGeom>
        <a:solidFill>
          <a:srgbClr val="FFFF00"/>
        </a:solidFill>
        <a:ln w="50800" cmpd="dbl">
          <a:gradFill>
            <a:gsLst>
              <a:gs pos="0">
                <a:srgbClr val="000082"/>
              </a:gs>
              <a:gs pos="13000">
                <a:srgbClr val="0047FF"/>
              </a:gs>
              <a:gs pos="28000">
                <a:srgbClr val="000082"/>
              </a:gs>
              <a:gs pos="42999">
                <a:srgbClr val="0047FF"/>
              </a:gs>
              <a:gs pos="58000">
                <a:srgbClr val="000082"/>
              </a:gs>
              <a:gs pos="72000">
                <a:srgbClr val="0047FF"/>
              </a:gs>
              <a:gs pos="87000">
                <a:srgbClr val="000082"/>
              </a:gs>
              <a:gs pos="100000">
                <a:srgbClr val="0047FF"/>
              </a:gs>
            </a:gsLst>
            <a:lin ang="5400000" scaled="0"/>
          </a:gradFill>
          <a:tailEnd type="stealt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he-IL" sz="1100" b="1" u="sng">
              <a:solidFill>
                <a:srgbClr val="002060"/>
              </a:solidFill>
            </a:rPr>
            <a:t>לדוגמא: נוסחה</a:t>
          </a:r>
          <a:r>
            <a:rPr lang="he-IL" sz="1100" b="1" u="sng" baseline="0">
              <a:solidFill>
                <a:srgbClr val="002060"/>
              </a:solidFill>
            </a:rPr>
            <a:t> לחישוב מחיר דירה לפי מכרז מחיר למשתכן</a:t>
          </a:r>
          <a:r>
            <a:rPr lang="he-IL" sz="1100" b="1" u="sng">
              <a:solidFill>
                <a:srgbClr val="002060"/>
              </a:solidFill>
            </a:rPr>
            <a:t>:</a:t>
          </a:r>
        </a:p>
        <a:p>
          <a:pPr algn="ctr" rtl="1"/>
          <a:endParaRPr lang="he-IL" sz="1100" b="1" u="sng">
            <a:solidFill>
              <a:srgbClr val="002060"/>
            </a:solidFill>
          </a:endParaRPr>
        </a:p>
        <a:p>
          <a:pPr algn="ctr" rtl="1"/>
          <a:r>
            <a:rPr lang="he-IL" sz="1100">
              <a:solidFill>
                <a:schemeClr val="tx1"/>
              </a:solidFill>
            </a:rPr>
            <a:t>שטח דירה במטרים - מוכפל במחיר למטר כולל מע"מ בש"ח +</a:t>
          </a:r>
        </a:p>
        <a:p>
          <a:pPr algn="ctr" rtl="1"/>
          <a:r>
            <a:rPr lang="he-IL" sz="1100">
              <a:solidFill>
                <a:schemeClr val="tx1"/>
              </a:solidFill>
            </a:rPr>
            <a:t>שטח מרפסת שמש ו/או שטח גינה - </a:t>
          </a:r>
          <a:r>
            <a:rPr lang="he-IL" sz="1100" baseline="0">
              <a:solidFill>
                <a:schemeClr val="tx1"/>
              </a:solidFill>
            </a:rPr>
            <a:t>מוכפל ב- </a:t>
          </a:r>
          <a:r>
            <a:rPr lang="en-US" sz="1100" baseline="0">
              <a:solidFill>
                <a:schemeClr val="tx1"/>
              </a:solidFill>
            </a:rPr>
            <a:t>X</a:t>
          </a:r>
          <a:r>
            <a:rPr lang="he-IL" sz="1100" baseline="0">
              <a:solidFill>
                <a:schemeClr val="tx1"/>
              </a:solidFill>
            </a:rPr>
            <a:t>% מחיר למטר </a:t>
          </a:r>
          <a:r>
            <a:rPr lang="he-I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כולל מע"מ בש"ח </a:t>
          </a:r>
          <a:r>
            <a:rPr lang="he-IL" sz="1100" baseline="0">
              <a:solidFill>
                <a:schemeClr val="tx1"/>
              </a:solidFill>
            </a:rPr>
            <a:t> + </a:t>
          </a:r>
        </a:p>
        <a:p>
          <a:pPr algn="ctr" rtl="1"/>
          <a:r>
            <a:rPr lang="he-IL" sz="1100" baseline="0">
              <a:solidFill>
                <a:schemeClr val="tx1"/>
              </a:solidFill>
            </a:rPr>
            <a:t>שטח מחסן - מוכפל ב- </a:t>
          </a:r>
          <a:r>
            <a:rPr lang="en-US" sz="1100" baseline="0">
              <a:solidFill>
                <a:schemeClr val="tx1"/>
              </a:solidFill>
            </a:rPr>
            <a:t>X</a:t>
          </a:r>
          <a:r>
            <a:rPr lang="he-IL" sz="1100" baseline="0">
              <a:solidFill>
                <a:schemeClr val="tx1"/>
              </a:solidFill>
            </a:rPr>
            <a:t>% מחיר למטר </a:t>
          </a:r>
          <a:r>
            <a:rPr lang="he-I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כולל מע"מ בש"ח </a:t>
          </a:r>
          <a:r>
            <a:rPr lang="he-IL" sz="1100" baseline="0">
              <a:solidFill>
                <a:schemeClr val="tx1"/>
              </a:solidFill>
            </a:rPr>
            <a:t>+</a:t>
          </a:r>
        </a:p>
        <a:p>
          <a:pPr algn="ctr" rtl="1"/>
          <a:r>
            <a:rPr lang="he-IL" sz="1100" baseline="0">
              <a:solidFill>
                <a:schemeClr val="tx1"/>
              </a:solidFill>
            </a:rPr>
            <a:t>מספר חניות - מוכפל ב- </a:t>
          </a:r>
          <a:r>
            <a:rPr lang="en-US" sz="1100" baseline="0">
              <a:solidFill>
                <a:schemeClr val="tx1"/>
              </a:solidFill>
            </a:rPr>
            <a:t>X</a:t>
          </a:r>
          <a:r>
            <a:rPr lang="he-IL" sz="1100" baseline="0">
              <a:solidFill>
                <a:schemeClr val="tx1"/>
              </a:solidFill>
            </a:rPr>
            <a:t>%  מחיר למטר </a:t>
          </a:r>
          <a:r>
            <a:rPr lang="he-I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כולל מע"מ בש"ח 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 rtl="1"/>
          <a:endParaRPr lang="en-US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 rtl="1"/>
          <a:r>
            <a:rPr lang="he-IL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האחוזים יכולים להיות שונים ממכרז למכרז וכמו כן גם שינויים נוספים בתמחורי הדירות כגון מקדמי קומות וכדומה. באחריות הקבלן להוסיף נוסחא לחישוב מחיר הדירה!!!</a:t>
          </a:r>
          <a:endParaRPr lang="he-IL" sz="1100" b="1" baseline="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20</xdr:col>
      <xdr:colOff>374072</xdr:colOff>
      <xdr:row>13</xdr:row>
      <xdr:rowOff>83127</xdr:rowOff>
    </xdr:from>
    <xdr:to>
      <xdr:col>25</xdr:col>
      <xdr:colOff>591241</xdr:colOff>
      <xdr:row>29</xdr:row>
      <xdr:rowOff>94539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BA0A54E9-91B8-7927-F264-19AC8FEC0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1734214" y="4627418"/>
          <a:ext cx="3985605" cy="37798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1</xdr:row>
      <xdr:rowOff>19049</xdr:rowOff>
    </xdr:from>
    <xdr:to>
      <xdr:col>17</xdr:col>
      <xdr:colOff>371475</xdr:colOff>
      <xdr:row>6</xdr:row>
      <xdr:rowOff>38100</xdr:rowOff>
    </xdr:to>
    <xdr:sp macro="" textlink="">
      <xdr:nvSpPr>
        <xdr:cNvPr id="2" name="Line Callout 2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1224117125" y="200024"/>
          <a:ext cx="3076575" cy="923926"/>
        </a:xfrm>
        <a:prstGeom prst="borderCallout2">
          <a:avLst>
            <a:gd name="adj1" fmla="val 46243"/>
            <a:gd name="adj2" fmla="val 100156"/>
            <a:gd name="adj3" fmla="val -896"/>
            <a:gd name="adj4" fmla="val 183127"/>
            <a:gd name="adj5" fmla="val 112850"/>
            <a:gd name="adj6" fmla="val 257881"/>
          </a:avLst>
        </a:prstGeom>
        <a:solidFill>
          <a:srgbClr val="FFFF00"/>
        </a:solidFill>
        <a:ln w="50800" cmpd="dbl">
          <a:gradFill>
            <a:gsLst>
              <a:gs pos="0">
                <a:srgbClr val="000082"/>
              </a:gs>
              <a:gs pos="13000">
                <a:srgbClr val="0047FF"/>
              </a:gs>
              <a:gs pos="28000">
                <a:srgbClr val="000082"/>
              </a:gs>
              <a:gs pos="42999">
                <a:srgbClr val="0047FF"/>
              </a:gs>
              <a:gs pos="58000">
                <a:srgbClr val="000082"/>
              </a:gs>
              <a:gs pos="72000">
                <a:srgbClr val="0047FF"/>
              </a:gs>
              <a:gs pos="87000">
                <a:srgbClr val="000082"/>
              </a:gs>
              <a:gs pos="100000">
                <a:srgbClr val="0047FF"/>
              </a:gs>
            </a:gsLst>
            <a:lin ang="5400000" scaled="0"/>
          </a:gradFill>
          <a:tailEnd type="stealt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400">
              <a:solidFill>
                <a:schemeClr val="tx1"/>
              </a:solidFill>
            </a:rPr>
            <a:t>יש למלא את יח"ד משתכן ויח"ד</a:t>
          </a:r>
          <a:r>
            <a:rPr lang="he-IL" sz="1400" baseline="0">
              <a:solidFill>
                <a:schemeClr val="tx1"/>
              </a:solidFill>
            </a:rPr>
            <a:t> שוק חופשי בכל בניין.(למלא רק את העמודות בצהוב</a:t>
          </a:r>
        </a:p>
        <a:p>
          <a:pPr algn="r" rtl="1"/>
          <a:endParaRPr lang="he-IL" sz="14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314325</xdr:colOff>
      <xdr:row>24</xdr:row>
      <xdr:rowOff>219074</xdr:rowOff>
    </xdr:from>
    <xdr:to>
      <xdr:col>17</xdr:col>
      <xdr:colOff>647700</xdr:colOff>
      <xdr:row>30</xdr:row>
      <xdr:rowOff>66675</xdr:rowOff>
    </xdr:to>
    <xdr:sp macro="" textlink="">
      <xdr:nvSpPr>
        <xdr:cNvPr id="3" name="Line Callout 2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1223840900" y="5543549"/>
          <a:ext cx="3076575" cy="1000126"/>
        </a:xfrm>
        <a:prstGeom prst="borderCallout2">
          <a:avLst>
            <a:gd name="adj1" fmla="val 46243"/>
            <a:gd name="adj2" fmla="val 100156"/>
            <a:gd name="adj3" fmla="val 43222"/>
            <a:gd name="adj4" fmla="val 183128"/>
            <a:gd name="adj5" fmla="val 64810"/>
            <a:gd name="adj6" fmla="val 255094"/>
          </a:avLst>
        </a:prstGeom>
        <a:solidFill>
          <a:srgbClr val="FF0000"/>
        </a:solidFill>
        <a:ln w="50800" cmpd="dbl">
          <a:gradFill>
            <a:gsLst>
              <a:gs pos="0">
                <a:srgbClr val="000082"/>
              </a:gs>
              <a:gs pos="13000">
                <a:srgbClr val="0047FF"/>
              </a:gs>
              <a:gs pos="28000">
                <a:srgbClr val="000082"/>
              </a:gs>
              <a:gs pos="42999">
                <a:srgbClr val="0047FF"/>
              </a:gs>
              <a:gs pos="58000">
                <a:srgbClr val="000082"/>
              </a:gs>
              <a:gs pos="72000">
                <a:srgbClr val="0047FF"/>
              </a:gs>
              <a:gs pos="87000">
                <a:srgbClr val="000082"/>
              </a:gs>
              <a:gs pos="100000">
                <a:srgbClr val="0047FF"/>
              </a:gs>
            </a:gsLst>
            <a:lin ang="5400000" scaled="0"/>
          </a:gradFill>
          <a:tailEnd type="stealt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he-IL" sz="1400" b="1">
              <a:solidFill>
                <a:schemeClr val="bg1"/>
              </a:solidFill>
            </a:rPr>
            <a:t>לא לשנות</a:t>
          </a:r>
          <a:r>
            <a:rPr lang="he-IL" sz="1400" b="1" baseline="0">
              <a:solidFill>
                <a:schemeClr val="bg1"/>
              </a:solidFill>
            </a:rPr>
            <a:t> את אחוז דירות בשוק החופשי . מחשב ע"פ נוסחה</a:t>
          </a:r>
        </a:p>
        <a:p>
          <a:pPr algn="ctr" rtl="1"/>
          <a:endParaRPr lang="he-IL" sz="1400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466725</xdr:colOff>
      <xdr:row>27</xdr:row>
      <xdr:rowOff>76200</xdr:rowOff>
    </xdr:from>
    <xdr:to>
      <xdr:col>8</xdr:col>
      <xdr:colOff>581025</xdr:colOff>
      <xdr:row>33</xdr:row>
      <xdr:rowOff>28575</xdr:rowOff>
    </xdr:to>
    <xdr:sp macro="" textlink="">
      <xdr:nvSpPr>
        <xdr:cNvPr id="4" name="אליפסה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231213250" y="6000750"/>
          <a:ext cx="676275" cy="10763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ta1-my.sharepoint.com/personal/pniot_eta_org_il/Documents/KABLANIM/777_&#1512;&#1502;&#1514;%20&#1490;&#1503;_&#1512;&#1502;&#1497;_&#1513;&#1489;&#1497;&#1512;&#1493;_&#1492;&#1504;&#1491;&#1505;&#1492;_&#1489;&#1504;&#1497;&#1492;_&#1493;&#1492;&#1513;&#1511;&#1506;&#1493;&#1514;_&#1489;&#1506;&#1502;/&#1504;&#1514;&#1493;&#1504;&#1497;_&#1511;&#1489;&#1500;&#1503;_&#1512;&#1502;&#1514;%20&#1490;&#1503;_&#1512;&#1502;&#1497;_&#1513;&#1489;&#1497;&#1512;&#1493;_&#1492;&#1504;&#1491;&#1505;&#1492;_&#1489;&#1504;&#1497;&#1492;_&#1493;&#1492;&#1513;&#1511;&#1506;&#1493;&#1514;_&#1489;&#1506;&#1502;_777/&#1504;&#1514;&#1493;&#1504;&#1497;&#1501;%20&#1492;&#1504;&#1491;&#1505;&#1497;&#1497;&#1501;/&#1490;4/&#1490;4%20&#1505;&#1493;&#1508;&#1497;%20&#1493;&#1495;&#1514;&#1493;&#150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ta1-my.sharepoint.com/personal/yairka_eta_org_il/Documents/&#1497;&#1488;&#1497;&#1512;/&#1514;&#1499;&#1504;&#1497;&#1501;%20&#1495;&#1493;&#1502;&#1512;&#1497;&#1501;%20&#1493;&#1492;&#1504;&#1495;&#1497;&#1493;&#1514;%20&#1500;&#1497;&#1494;&#1502;&#1497;&#1501;&#1500;&#1506;&#1512;&#1497;&#1499;&#1492;%20&#1500;&#1488;%20&#1500;&#1513;&#1500;&#1497;&#1495;&#1492;/&#1502;&#1506;&#1493;&#1491;&#1499;&#1503;%20&#1504;&#1505;&#1508;&#1495;%20&#1490;'4%20-%20&#1500;&#1492;&#1513;&#1500;&#1502;&#1492;%20&#1506;&#1497;%20&#1492;&#1511;&#1489;&#1500;&#15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שימות"/>
      <sheetName val="סיכום שטחים לפי מגרשים"/>
      <sheetName val="סיכום מתחמים"/>
      <sheetName val="סיכום שטחים לרישוי"/>
      <sheetName val="טיפוסי דירות"/>
      <sheetName val="כמויות"/>
      <sheetName val="טיפוס A"/>
      <sheetName val="טיפוס B"/>
      <sheetName val="טיפוס C"/>
      <sheetName val="טיפוס C1"/>
      <sheetName val="גבהים"/>
      <sheetName val="חניונים"/>
      <sheetName val="שיוך מחסנים וחניות"/>
      <sheetName val="מחסנים"/>
      <sheetName val="מעברים"/>
      <sheetName val="מרפסות - גינות"/>
      <sheetName val="ג4 777"/>
      <sheetName val="ג4 102"/>
      <sheetName val="ג4 778"/>
      <sheetName val="רשימת יועצים"/>
      <sheetName val="מעכב רישוי זמין"/>
      <sheetName val="מהות הבקשות"/>
      <sheetName val="הקלות"/>
      <sheetName val="גליון פרמטרים והערות"/>
      <sheetName val="מעכב תכניות עבודה"/>
      <sheetName val="Sheet3"/>
      <sheetName val="חתך"/>
      <sheetName val="ג4 סופי וחתו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101-1</v>
          </cell>
        </row>
      </sheetData>
      <sheetData sheetId="13"/>
      <sheetData sheetId="14"/>
      <sheetData sheetId="15">
        <row r="1">
          <cell r="B1" t="str">
            <v>מרפסות _A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חיר למשתכן"/>
      <sheetName val="סיכום בניינים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3" tint="0.39997558519241921"/>
    <pageSetUpPr fitToPage="1"/>
  </sheetPr>
  <dimension ref="A1:AA161"/>
  <sheetViews>
    <sheetView rightToLeft="1" tabSelected="1" view="pageBreakPreview" topLeftCell="A119" zoomScale="75" zoomScaleNormal="55" zoomScaleSheetLayoutView="75" workbookViewId="0">
      <selection activeCell="C122" sqref="C122"/>
    </sheetView>
  </sheetViews>
  <sheetFormatPr defaultColWidth="9.125" defaultRowHeight="17.45" customHeight="1" x14ac:dyDescent="0.2"/>
  <cols>
    <col min="1" max="1" width="8.125" style="2" customWidth="1"/>
    <col min="2" max="2" width="8.375" style="2" customWidth="1"/>
    <col min="3" max="3" width="7.875" style="2" customWidth="1"/>
    <col min="4" max="4" width="10.75" style="2" customWidth="1"/>
    <col min="5" max="5" width="8" style="2" customWidth="1"/>
    <col min="6" max="6" width="7.375" style="2" customWidth="1"/>
    <col min="7" max="7" width="12" style="2" customWidth="1"/>
    <col min="8" max="8" width="12.875" style="77" customWidth="1"/>
    <col min="9" max="9" width="9.75" style="77" customWidth="1"/>
    <col min="10" max="10" width="7.875" style="2" customWidth="1"/>
    <col min="11" max="11" width="8" style="2" customWidth="1"/>
    <col min="12" max="12" width="17.875" style="2" bestFit="1" customWidth="1"/>
    <col min="13" max="13" width="12.125" style="2" customWidth="1"/>
    <col min="14" max="14" width="18" style="2" bestFit="1" customWidth="1"/>
    <col min="15" max="15" width="20.625" style="2" customWidth="1"/>
    <col min="16" max="16" width="11" style="2" customWidth="1"/>
    <col min="17" max="17" width="7.375" style="2" customWidth="1"/>
    <col min="18" max="18" width="9" style="2" hidden="1" customWidth="1"/>
    <col min="19" max="19" width="13.375" style="2" hidden="1" customWidth="1"/>
    <col min="20" max="20" width="7.5" style="2" hidden="1" customWidth="1"/>
    <col min="21" max="21" width="7.25" style="2" customWidth="1"/>
    <col min="22" max="24" width="9.125" style="2"/>
    <col min="25" max="25" width="14.875" style="2" customWidth="1"/>
    <col min="26" max="16384" width="9.125" style="2"/>
  </cols>
  <sheetData>
    <row r="1" spans="1:27" ht="62.25" customHeight="1" thickTop="1" thickBot="1" x14ac:dyDescent="0.25">
      <c r="A1" s="269" t="s">
        <v>0</v>
      </c>
      <c r="B1" s="269"/>
      <c r="C1" s="270"/>
      <c r="D1" s="270"/>
      <c r="E1" s="270"/>
      <c r="F1" s="270"/>
      <c r="G1" s="270"/>
      <c r="H1" s="271"/>
      <c r="I1" s="271"/>
      <c r="J1" s="270"/>
      <c r="K1" s="270"/>
      <c r="L1" s="270"/>
      <c r="M1" s="270"/>
      <c r="N1" s="270"/>
      <c r="O1" s="270"/>
      <c r="P1" s="270"/>
      <c r="V1" s="63" t="s">
        <v>1</v>
      </c>
      <c r="W1" s="64" t="s">
        <v>2</v>
      </c>
      <c r="X1" s="65" t="s">
        <v>3</v>
      </c>
      <c r="Y1" s="66" t="s">
        <v>4</v>
      </c>
      <c r="Z1" s="66" t="s">
        <v>5</v>
      </c>
      <c r="AA1" s="66" t="s">
        <v>6</v>
      </c>
    </row>
    <row r="2" spans="1:27" ht="17.45" customHeight="1" thickTop="1" thickBot="1" x14ac:dyDescent="0.3">
      <c r="A2" s="3"/>
      <c r="B2" s="3"/>
      <c r="C2" s="3"/>
      <c r="D2" s="3"/>
      <c r="E2" s="3"/>
      <c r="F2" s="4"/>
      <c r="G2" s="272" t="s">
        <v>7</v>
      </c>
      <c r="H2" s="273"/>
      <c r="I2" s="273"/>
      <c r="J2" s="274"/>
      <c r="K2" s="274"/>
      <c r="L2" s="274"/>
      <c r="M2" s="3"/>
      <c r="N2" s="5"/>
      <c r="O2" s="3"/>
      <c r="P2" s="3"/>
      <c r="Q2" s="3"/>
      <c r="V2" s="64">
        <v>3</v>
      </c>
      <c r="W2" s="67">
        <v>26</v>
      </c>
      <c r="X2" s="68">
        <v>0</v>
      </c>
      <c r="Y2" s="67">
        <v>26</v>
      </c>
      <c r="Z2" s="69">
        <f>Y2/W2</f>
        <v>1</v>
      </c>
      <c r="AA2" s="151">
        <f>(Y2+Y3)/(W2+W3)</f>
        <v>1</v>
      </c>
    </row>
    <row r="3" spans="1:27" ht="17.45" customHeight="1" thickTop="1" thickBot="1" x14ac:dyDescent="0.3">
      <c r="A3" s="6" t="s">
        <v>8</v>
      </c>
      <c r="C3" s="292" t="s">
        <v>55</v>
      </c>
      <c r="D3" s="293"/>
      <c r="E3" s="3"/>
      <c r="F3" s="3"/>
      <c r="G3" s="3"/>
      <c r="H3" s="294" t="s">
        <v>9</v>
      </c>
      <c r="I3" s="294"/>
      <c r="J3" s="295"/>
      <c r="K3" s="296"/>
      <c r="L3" s="290" t="s">
        <v>10</v>
      </c>
      <c r="M3" s="291"/>
      <c r="N3" s="7"/>
      <c r="O3" s="7"/>
      <c r="P3" s="7"/>
      <c r="Q3" s="7"/>
      <c r="V3" s="64">
        <v>4</v>
      </c>
      <c r="W3" s="67">
        <v>31</v>
      </c>
      <c r="X3" s="68">
        <v>0</v>
      </c>
      <c r="Y3" s="67">
        <f>W3-X3</f>
        <v>31</v>
      </c>
      <c r="Z3" s="69">
        <f t="shared" ref="Z3" si="0">Y3/W3</f>
        <v>1</v>
      </c>
      <c r="AA3" s="151"/>
    </row>
    <row r="4" spans="1:27" ht="17.45" customHeight="1" thickTop="1" thickBot="1" x14ac:dyDescent="0.3">
      <c r="A4" s="6" t="s">
        <v>11</v>
      </c>
      <c r="C4" s="292">
        <v>71612</v>
      </c>
      <c r="D4" s="293"/>
      <c r="E4" s="3"/>
      <c r="F4" s="3"/>
      <c r="G4" s="3"/>
      <c r="H4" s="81"/>
      <c r="I4" s="81"/>
      <c r="J4" s="6"/>
      <c r="K4" s="3"/>
      <c r="L4" s="3"/>
      <c r="M4" s="3"/>
      <c r="N4" s="3"/>
      <c r="O4" s="3"/>
      <c r="P4" s="3"/>
      <c r="Q4" s="3"/>
      <c r="V4" s="64">
        <v>5</v>
      </c>
      <c r="W4" s="67">
        <f>COUNTIF($F$12:$F$464,V4)</f>
        <v>45</v>
      </c>
      <c r="X4" s="68">
        <v>6</v>
      </c>
      <c r="Y4" s="67">
        <f>W4-X4</f>
        <v>39</v>
      </c>
      <c r="Z4" s="69">
        <f>Y4/W4</f>
        <v>0.8666666666666667</v>
      </c>
      <c r="AA4" s="152">
        <f>(Y4+Y5)/(W4+W5)</f>
        <v>0.64179104477611937</v>
      </c>
    </row>
    <row r="5" spans="1:27" ht="17.45" customHeight="1" thickTop="1" thickBot="1" x14ac:dyDescent="0.3">
      <c r="A5" s="6" t="s">
        <v>12</v>
      </c>
      <c r="B5" s="3"/>
      <c r="C5" s="292">
        <v>2279</v>
      </c>
      <c r="D5" s="293"/>
      <c r="E5" s="3"/>
      <c r="F5" s="3"/>
      <c r="G5" s="3"/>
      <c r="H5" s="81"/>
      <c r="I5" s="81"/>
      <c r="L5" s="287" t="s">
        <v>13</v>
      </c>
      <c r="M5" s="288"/>
      <c r="N5" s="288"/>
      <c r="O5" s="289"/>
      <c r="P5" s="285">
        <v>12659.04</v>
      </c>
      <c r="Q5" s="286"/>
      <c r="V5" s="64">
        <v>6</v>
      </c>
      <c r="W5" s="67">
        <v>22</v>
      </c>
      <c r="X5" s="68">
        <v>18</v>
      </c>
      <c r="Y5" s="67">
        <f>W5-X5</f>
        <v>4</v>
      </c>
      <c r="Z5" s="69">
        <f>Y5/W5</f>
        <v>0.18181818181818182</v>
      </c>
      <c r="AA5" s="153"/>
    </row>
    <row r="6" spans="1:27" ht="17.45" customHeight="1" thickTop="1" thickBot="1" x14ac:dyDescent="0.3">
      <c r="A6" s="6" t="s">
        <v>14</v>
      </c>
      <c r="B6" s="6"/>
      <c r="C6" s="3"/>
      <c r="D6" s="62">
        <v>124</v>
      </c>
      <c r="E6" s="3"/>
      <c r="F6" s="3"/>
      <c r="G6" s="3"/>
      <c r="H6" s="81"/>
      <c r="I6" s="81"/>
      <c r="J6" s="6"/>
      <c r="K6" s="3"/>
      <c r="L6" s="3"/>
      <c r="M6" s="3"/>
      <c r="N6" s="3"/>
      <c r="O6" s="3"/>
      <c r="P6" s="8"/>
      <c r="Q6" s="3"/>
      <c r="V6" s="70" t="s">
        <v>2</v>
      </c>
      <c r="W6" s="70">
        <f>SUM(W2:W5)</f>
        <v>124</v>
      </c>
      <c r="X6" s="71">
        <f>X2+X3+X4+X5</f>
        <v>24</v>
      </c>
      <c r="Y6" s="70">
        <f>W6-X6</f>
        <v>100</v>
      </c>
      <c r="Z6" s="72">
        <f>Y6/W6</f>
        <v>0.80645161290322576</v>
      </c>
      <c r="AA6" s="70"/>
    </row>
    <row r="7" spans="1:27" ht="17.45" customHeight="1" thickBot="1" x14ac:dyDescent="0.3">
      <c r="A7" s="6" t="s">
        <v>15</v>
      </c>
      <c r="B7" s="6"/>
      <c r="C7" s="3"/>
      <c r="E7" s="278">
        <v>100</v>
      </c>
      <c r="F7" s="279"/>
      <c r="G7" s="3"/>
      <c r="H7" s="81"/>
      <c r="I7" s="81"/>
      <c r="J7" s="6"/>
      <c r="K7" s="3"/>
      <c r="L7" s="129" t="s">
        <v>134</v>
      </c>
      <c r="O7" s="3"/>
      <c r="P7" s="8"/>
      <c r="Q7" s="3"/>
    </row>
    <row r="8" spans="1:27" ht="17.45" customHeight="1" thickBot="1" x14ac:dyDescent="0.3">
      <c r="A8" s="6" t="s">
        <v>16</v>
      </c>
      <c r="B8" s="6"/>
      <c r="C8" s="3"/>
      <c r="E8" s="276">
        <f>E7/D6</f>
        <v>0.80645161290322576</v>
      </c>
      <c r="F8" s="277"/>
      <c r="G8" s="3"/>
      <c r="H8" s="81"/>
      <c r="I8" s="81"/>
      <c r="J8" s="6"/>
      <c r="K8" s="3"/>
      <c r="L8" s="3"/>
      <c r="M8" s="8"/>
      <c r="N8" s="8"/>
      <c r="O8" s="8"/>
      <c r="P8" s="8"/>
      <c r="Q8" s="3"/>
    </row>
    <row r="9" spans="1:27" ht="22.5" customHeight="1" thickBot="1" x14ac:dyDescent="0.45">
      <c r="A9" s="275" t="s">
        <v>17</v>
      </c>
      <c r="B9" s="275"/>
      <c r="C9" s="275"/>
      <c r="E9" s="280">
        <f>D6*0.15</f>
        <v>18.599999999999998</v>
      </c>
      <c r="F9" s="281"/>
      <c r="G9" s="9"/>
      <c r="H9" s="81"/>
      <c r="I9" s="81"/>
      <c r="J9" s="6"/>
      <c r="K9" s="3"/>
      <c r="L9" s="3"/>
      <c r="M9" s="8"/>
      <c r="N9" s="8"/>
      <c r="O9" s="8"/>
      <c r="P9" s="9"/>
      <c r="Q9" s="10"/>
      <c r="R9" s="10"/>
      <c r="S9" s="11"/>
      <c r="T9" s="11"/>
    </row>
    <row r="10" spans="1:27" ht="17.45" customHeight="1" thickBot="1" x14ac:dyDescent="0.3">
      <c r="A10" s="37"/>
      <c r="B10" s="37"/>
      <c r="C10" s="37"/>
      <c r="D10" s="37"/>
      <c r="E10" s="38"/>
      <c r="F10" s="38"/>
      <c r="G10" s="38"/>
      <c r="H10" s="85"/>
      <c r="I10" s="82"/>
      <c r="J10" s="38"/>
      <c r="K10" s="38"/>
      <c r="L10" s="38"/>
      <c r="M10" s="38"/>
      <c r="N10" s="38"/>
      <c r="O10" s="38"/>
      <c r="P10" s="38"/>
      <c r="Q10" s="38"/>
      <c r="R10" s="37"/>
      <c r="S10" s="37"/>
      <c r="T10" s="37"/>
    </row>
    <row r="11" spans="1:27" s="12" customFormat="1" ht="96.75" customHeight="1" thickTop="1" thickBot="1" x14ac:dyDescent="0.25">
      <c r="A11" s="39" t="s">
        <v>18</v>
      </c>
      <c r="B11" s="41" t="s">
        <v>19</v>
      </c>
      <c r="C11" s="39" t="s">
        <v>20</v>
      </c>
      <c r="D11" s="39" t="s">
        <v>21</v>
      </c>
      <c r="E11" s="41" t="s">
        <v>22</v>
      </c>
      <c r="F11" s="39" t="s">
        <v>23</v>
      </c>
      <c r="G11" s="41" t="s">
        <v>24</v>
      </c>
      <c r="H11" s="115" t="s">
        <v>25</v>
      </c>
      <c r="I11" s="39" t="s">
        <v>26</v>
      </c>
      <c r="J11" s="39" t="s">
        <v>27</v>
      </c>
      <c r="K11" s="39" t="s">
        <v>28</v>
      </c>
      <c r="L11" s="41" t="s">
        <v>29</v>
      </c>
      <c r="M11" s="43" t="s">
        <v>100</v>
      </c>
      <c r="N11" s="39" t="s">
        <v>30</v>
      </c>
      <c r="O11" s="41" t="s">
        <v>31</v>
      </c>
      <c r="P11" s="40" t="s">
        <v>32</v>
      </c>
      <c r="Q11" s="42" t="s">
        <v>33</v>
      </c>
      <c r="R11" s="40" t="s">
        <v>24</v>
      </c>
      <c r="S11" s="40" t="s">
        <v>25</v>
      </c>
      <c r="T11" s="40" t="s">
        <v>27</v>
      </c>
    </row>
    <row r="12" spans="1:27" ht="18" customHeight="1" thickTop="1" thickBot="1" x14ac:dyDescent="0.3">
      <c r="A12" s="185" t="s">
        <v>56</v>
      </c>
      <c r="B12" s="185">
        <v>102</v>
      </c>
      <c r="C12" s="191">
        <v>1</v>
      </c>
      <c r="D12" s="191" t="s">
        <v>59</v>
      </c>
      <c r="E12" s="191" t="s">
        <v>34</v>
      </c>
      <c r="F12" s="191">
        <v>3</v>
      </c>
      <c r="G12" s="197">
        <v>92.116</v>
      </c>
      <c r="H12" s="197">
        <v>152.6</v>
      </c>
      <c r="I12" s="187">
        <v>21</v>
      </c>
      <c r="J12" s="191">
        <v>5.2240000000000002</v>
      </c>
      <c r="K12" s="191">
        <v>1</v>
      </c>
      <c r="L12" s="192">
        <v>1479692</v>
      </c>
      <c r="M12" s="191" t="s">
        <v>35</v>
      </c>
      <c r="N12" s="191"/>
      <c r="O12" s="192">
        <f>L12*0.8</f>
        <v>1183753.6000000001</v>
      </c>
      <c r="P12" s="206" t="s">
        <v>36</v>
      </c>
      <c r="Q12" s="206"/>
      <c r="R12" s="76" t="s">
        <v>37</v>
      </c>
      <c r="S12" s="76" t="s">
        <v>37</v>
      </c>
      <c r="T12" s="76" t="s">
        <v>37</v>
      </c>
    </row>
    <row r="13" spans="1:27" ht="18" customHeight="1" thickTop="1" thickBot="1" x14ac:dyDescent="0.3">
      <c r="A13" s="47" t="s">
        <v>56</v>
      </c>
      <c r="B13" s="47">
        <v>102</v>
      </c>
      <c r="C13" s="44">
        <v>2</v>
      </c>
      <c r="D13" s="44" t="s">
        <v>58</v>
      </c>
      <c r="E13" s="44" t="s">
        <v>34</v>
      </c>
      <c r="F13" s="44">
        <v>5</v>
      </c>
      <c r="G13" s="91">
        <v>126.246</v>
      </c>
      <c r="H13" s="91">
        <v>79.97</v>
      </c>
      <c r="I13" s="92">
        <v>16.997</v>
      </c>
      <c r="J13" s="54">
        <v>5.2039999999999997</v>
      </c>
      <c r="K13" s="45">
        <v>1</v>
      </c>
      <c r="L13" s="46">
        <v>1862622</v>
      </c>
      <c r="M13" s="45" t="s">
        <v>83</v>
      </c>
      <c r="N13" s="45"/>
      <c r="O13" s="46">
        <f t="shared" ref="O13:O20" si="1">L13-300000</f>
        <v>1562622</v>
      </c>
      <c r="P13" s="45" t="s">
        <v>36</v>
      </c>
      <c r="Q13" s="45"/>
      <c r="R13" s="48"/>
      <c r="S13" s="48"/>
      <c r="T13" s="48"/>
    </row>
    <row r="14" spans="1:27" ht="18" customHeight="1" thickTop="1" thickBot="1" x14ac:dyDescent="0.3">
      <c r="A14" s="185" t="s">
        <v>56</v>
      </c>
      <c r="B14" s="185">
        <v>102</v>
      </c>
      <c r="C14" s="186">
        <v>3</v>
      </c>
      <c r="D14" s="186" t="s">
        <v>101</v>
      </c>
      <c r="E14" s="186">
        <v>1</v>
      </c>
      <c r="F14" s="186">
        <v>3</v>
      </c>
      <c r="G14" s="197">
        <v>92.114999999999995</v>
      </c>
      <c r="H14" s="197">
        <v>11.859</v>
      </c>
      <c r="I14" s="187">
        <f>H14*0.3</f>
        <v>3.5577000000000001</v>
      </c>
      <c r="J14" s="191">
        <v>4.3730000000000002</v>
      </c>
      <c r="K14" s="191">
        <v>1</v>
      </c>
      <c r="L14" s="192">
        <v>1254569.73</v>
      </c>
      <c r="M14" s="191" t="s">
        <v>35</v>
      </c>
      <c r="N14" s="191"/>
      <c r="O14" s="192">
        <f>L14*0.8</f>
        <v>1003655.784</v>
      </c>
      <c r="P14" s="191"/>
      <c r="Q14" s="191"/>
      <c r="R14" s="35" t="s">
        <v>37</v>
      </c>
      <c r="S14" s="35" t="s">
        <v>37</v>
      </c>
      <c r="T14" s="35" t="s">
        <v>37</v>
      </c>
    </row>
    <row r="15" spans="1:27" ht="18" customHeight="1" thickTop="1" thickBot="1" x14ac:dyDescent="0.3">
      <c r="A15" s="185" t="s">
        <v>56</v>
      </c>
      <c r="B15" s="185">
        <v>102</v>
      </c>
      <c r="C15" s="191">
        <v>4</v>
      </c>
      <c r="D15" s="191" t="s">
        <v>102</v>
      </c>
      <c r="E15" s="191">
        <v>1</v>
      </c>
      <c r="F15" s="191">
        <v>5</v>
      </c>
      <c r="G15" s="197">
        <v>126.754</v>
      </c>
      <c r="H15" s="197">
        <v>12.051</v>
      </c>
      <c r="I15" s="187">
        <f t="shared" ref="I15:I19" si="2">H15*0.3</f>
        <v>3.6153</v>
      </c>
      <c r="J15" s="191">
        <v>6.4450000000000003</v>
      </c>
      <c r="K15" s="191">
        <v>1</v>
      </c>
      <c r="L15" s="192">
        <v>1704972.68</v>
      </c>
      <c r="M15" s="191" t="s">
        <v>35</v>
      </c>
      <c r="N15" s="191"/>
      <c r="O15" s="192">
        <f t="shared" si="1"/>
        <v>1404972.68</v>
      </c>
      <c r="P15" s="191"/>
      <c r="Q15" s="191"/>
      <c r="R15" s="35" t="s">
        <v>37</v>
      </c>
      <c r="S15" s="35" t="s">
        <v>37</v>
      </c>
      <c r="T15" s="35" t="s">
        <v>37</v>
      </c>
    </row>
    <row r="16" spans="1:27" ht="18" customHeight="1" thickTop="1" thickBot="1" x14ac:dyDescent="0.3">
      <c r="A16" s="185" t="s">
        <v>56</v>
      </c>
      <c r="B16" s="185">
        <v>102</v>
      </c>
      <c r="C16" s="186">
        <v>5</v>
      </c>
      <c r="D16" s="186" t="s">
        <v>103</v>
      </c>
      <c r="E16" s="186">
        <v>2</v>
      </c>
      <c r="F16" s="186">
        <v>3</v>
      </c>
      <c r="G16" s="197">
        <v>92.114999999999995</v>
      </c>
      <c r="H16" s="197">
        <v>17.88</v>
      </c>
      <c r="I16" s="187">
        <f t="shared" si="2"/>
        <v>5.3639999999999999</v>
      </c>
      <c r="J16" s="191">
        <v>4.3730000000000002</v>
      </c>
      <c r="K16" s="191">
        <v>1</v>
      </c>
      <c r="L16" s="192">
        <v>1277435.75</v>
      </c>
      <c r="M16" s="191" t="s">
        <v>35</v>
      </c>
      <c r="N16" s="191"/>
      <c r="O16" s="192">
        <f>L16*0.8</f>
        <v>1021948.6000000001</v>
      </c>
      <c r="P16" s="191"/>
      <c r="Q16" s="191"/>
      <c r="R16" s="35" t="s">
        <v>37</v>
      </c>
      <c r="S16" s="35" t="s">
        <v>37</v>
      </c>
      <c r="T16" s="35" t="s">
        <v>37</v>
      </c>
    </row>
    <row r="17" spans="1:22" ht="18" customHeight="1" thickTop="1" thickBot="1" x14ac:dyDescent="0.3">
      <c r="A17" s="185" t="s">
        <v>56</v>
      </c>
      <c r="B17" s="185">
        <v>102</v>
      </c>
      <c r="C17" s="186">
        <v>6</v>
      </c>
      <c r="D17" s="186" t="s">
        <v>104</v>
      </c>
      <c r="E17" s="186">
        <v>2</v>
      </c>
      <c r="F17" s="186">
        <v>5</v>
      </c>
      <c r="G17" s="197">
        <v>126.754</v>
      </c>
      <c r="H17" s="197">
        <v>19.460999999999999</v>
      </c>
      <c r="I17" s="187">
        <f t="shared" si="2"/>
        <v>5.8382999999999994</v>
      </c>
      <c r="J17" s="191">
        <v>6.4450000000000003</v>
      </c>
      <c r="K17" s="191">
        <v>1</v>
      </c>
      <c r="L17" s="192">
        <v>1733113.72</v>
      </c>
      <c r="M17" s="191" t="s">
        <v>35</v>
      </c>
      <c r="N17" s="191"/>
      <c r="O17" s="192">
        <f t="shared" si="1"/>
        <v>1433113.72</v>
      </c>
      <c r="P17" s="191"/>
      <c r="Q17" s="191"/>
      <c r="R17" s="35" t="s">
        <v>37</v>
      </c>
      <c r="S17" s="35" t="s">
        <v>37</v>
      </c>
      <c r="T17" s="35" t="s">
        <v>37</v>
      </c>
    </row>
    <row r="18" spans="1:22" ht="18" customHeight="1" thickTop="1" thickBot="1" x14ac:dyDescent="0.3">
      <c r="A18" s="185" t="s">
        <v>56</v>
      </c>
      <c r="B18" s="185">
        <v>102</v>
      </c>
      <c r="C18" s="186">
        <v>7</v>
      </c>
      <c r="D18" s="186" t="s">
        <v>101</v>
      </c>
      <c r="E18" s="186">
        <v>3</v>
      </c>
      <c r="F18" s="186">
        <v>3</v>
      </c>
      <c r="G18" s="197">
        <v>92.114999999999995</v>
      </c>
      <c r="H18" s="197">
        <v>11.859</v>
      </c>
      <c r="I18" s="187">
        <f t="shared" si="2"/>
        <v>3.5577000000000001</v>
      </c>
      <c r="J18" s="191">
        <v>4.3730000000000002</v>
      </c>
      <c r="K18" s="191">
        <v>1</v>
      </c>
      <c r="L18" s="192">
        <v>1254569.73</v>
      </c>
      <c r="M18" s="191" t="s">
        <v>35</v>
      </c>
      <c r="N18" s="191"/>
      <c r="O18" s="192">
        <f>L18*0.8</f>
        <v>1003655.784</v>
      </c>
      <c r="P18" s="191"/>
      <c r="Q18" s="191"/>
      <c r="R18" s="35" t="s">
        <v>37</v>
      </c>
      <c r="S18" s="35" t="s">
        <v>37</v>
      </c>
      <c r="T18" s="35" t="s">
        <v>37</v>
      </c>
    </row>
    <row r="19" spans="1:22" ht="18" customHeight="1" thickTop="1" thickBot="1" x14ac:dyDescent="0.3">
      <c r="A19" s="185" t="s">
        <v>56</v>
      </c>
      <c r="B19" s="185">
        <v>102</v>
      </c>
      <c r="C19" s="186">
        <v>8</v>
      </c>
      <c r="D19" s="186" t="s">
        <v>102</v>
      </c>
      <c r="E19" s="186">
        <v>3</v>
      </c>
      <c r="F19" s="186">
        <v>5</v>
      </c>
      <c r="G19" s="197">
        <v>126.754</v>
      </c>
      <c r="H19" s="197">
        <v>12.051</v>
      </c>
      <c r="I19" s="187">
        <f t="shared" si="2"/>
        <v>3.6153</v>
      </c>
      <c r="J19" s="191">
        <v>6.4450000000000003</v>
      </c>
      <c r="K19" s="191">
        <v>1</v>
      </c>
      <c r="L19" s="192">
        <v>1704972.68</v>
      </c>
      <c r="M19" s="191" t="s">
        <v>35</v>
      </c>
      <c r="N19" s="191"/>
      <c r="O19" s="192">
        <f t="shared" si="1"/>
        <v>1404972.68</v>
      </c>
      <c r="P19" s="191"/>
      <c r="Q19" s="191"/>
      <c r="R19" s="35" t="s">
        <v>37</v>
      </c>
      <c r="S19" s="35" t="s">
        <v>37</v>
      </c>
      <c r="T19" s="35" t="s">
        <v>37</v>
      </c>
    </row>
    <row r="20" spans="1:22" ht="18" customHeight="1" thickTop="1" thickBot="1" x14ac:dyDescent="0.3">
      <c r="A20" s="47" t="s">
        <v>56</v>
      </c>
      <c r="B20" s="47">
        <v>102</v>
      </c>
      <c r="C20" s="44">
        <v>9</v>
      </c>
      <c r="D20" s="44" t="s">
        <v>60</v>
      </c>
      <c r="E20" s="44">
        <v>4</v>
      </c>
      <c r="F20" s="44">
        <v>6</v>
      </c>
      <c r="G20" s="91">
        <v>178.97200000000001</v>
      </c>
      <c r="H20" s="91">
        <v>67.159000000000006</v>
      </c>
      <c r="I20" s="92">
        <v>15.715999999999999</v>
      </c>
      <c r="J20" s="54">
        <v>6.7080000000000002</v>
      </c>
      <c r="K20" s="45">
        <v>2</v>
      </c>
      <c r="L20" s="46">
        <v>2484656.87</v>
      </c>
      <c r="M20" s="45" t="s">
        <v>83</v>
      </c>
      <c r="N20" s="45"/>
      <c r="O20" s="46">
        <f t="shared" si="1"/>
        <v>2184656.87</v>
      </c>
      <c r="P20" s="45" t="s">
        <v>38</v>
      </c>
      <c r="Q20" s="45"/>
      <c r="R20" s="48" t="s">
        <v>37</v>
      </c>
      <c r="S20" s="48" t="s">
        <v>37</v>
      </c>
      <c r="T20" s="48" t="s">
        <v>37</v>
      </c>
    </row>
    <row r="21" spans="1:22" ht="18" customHeight="1" thickTop="1" thickBot="1" x14ac:dyDescent="0.3">
      <c r="A21" s="257" t="s">
        <v>135</v>
      </c>
      <c r="B21" s="258"/>
      <c r="C21" s="258"/>
      <c r="D21" s="258"/>
      <c r="E21" s="258"/>
      <c r="F21" s="258"/>
      <c r="G21" s="140">
        <v>117.1</v>
      </c>
      <c r="H21" s="139"/>
      <c r="I21" s="259" t="s">
        <v>136</v>
      </c>
      <c r="J21" s="258"/>
      <c r="K21" s="258"/>
      <c r="L21" s="141">
        <f>COUNTIF(L11:L20,"כן")/COUNT(C11:C20)</f>
        <v>0</v>
      </c>
      <c r="M21" s="140">
        <v>77.8</v>
      </c>
      <c r="N21" s="141"/>
      <c r="O21" s="141"/>
      <c r="P21" s="141"/>
      <c r="Q21" s="142"/>
      <c r="R21" s="130"/>
      <c r="S21" s="130"/>
      <c r="T21" s="130"/>
    </row>
    <row r="22" spans="1:22" ht="18" customHeight="1" thickTop="1" thickBot="1" x14ac:dyDescent="0.3">
      <c r="A22" s="51" t="s">
        <v>57</v>
      </c>
      <c r="B22" s="49">
        <v>102</v>
      </c>
      <c r="C22" s="51">
        <v>1</v>
      </c>
      <c r="D22" s="51" t="s">
        <v>61</v>
      </c>
      <c r="E22" s="51" t="s">
        <v>34</v>
      </c>
      <c r="F22" s="51">
        <v>5</v>
      </c>
      <c r="G22" s="93">
        <v>127.16500000000001</v>
      </c>
      <c r="H22" s="78">
        <v>93.83</v>
      </c>
      <c r="I22" s="84">
        <v>18.382999999999999</v>
      </c>
      <c r="J22" s="94">
        <v>4.9210000000000003</v>
      </c>
      <c r="K22" s="51">
        <v>1</v>
      </c>
      <c r="L22" s="52">
        <v>1888623.07</v>
      </c>
      <c r="M22" s="51" t="s">
        <v>83</v>
      </c>
      <c r="N22" s="51"/>
      <c r="O22" s="52">
        <f t="shared" ref="O22:O86" si="3">L22-300000</f>
        <v>1588623.07</v>
      </c>
      <c r="P22" s="51" t="s">
        <v>36</v>
      </c>
      <c r="Q22" s="51"/>
      <c r="R22" s="53"/>
      <c r="S22" s="53"/>
      <c r="T22" s="53"/>
    </row>
    <row r="23" spans="1:22" s="13" customFormat="1" ht="18" customHeight="1" thickTop="1" thickBot="1" x14ac:dyDescent="0.25">
      <c r="A23" s="184" t="s">
        <v>57</v>
      </c>
      <c r="B23" s="184">
        <v>102</v>
      </c>
      <c r="C23" s="191">
        <v>2</v>
      </c>
      <c r="D23" s="191" t="s">
        <v>62</v>
      </c>
      <c r="E23" s="191" t="s">
        <v>34</v>
      </c>
      <c r="F23" s="191">
        <v>4</v>
      </c>
      <c r="G23" s="187">
        <v>114.661</v>
      </c>
      <c r="H23" s="188">
        <v>34.11</v>
      </c>
      <c r="I23" s="189">
        <v>9.8219999999999992</v>
      </c>
      <c r="J23" s="190">
        <v>3.6869999999999998</v>
      </c>
      <c r="K23" s="191">
        <v>1</v>
      </c>
      <c r="L23" s="192">
        <v>1610972.34</v>
      </c>
      <c r="M23" s="191" t="s">
        <v>35</v>
      </c>
      <c r="N23" s="191"/>
      <c r="O23" s="192">
        <f t="shared" si="3"/>
        <v>1310972.3400000001</v>
      </c>
      <c r="P23" s="191" t="s">
        <v>36</v>
      </c>
      <c r="Q23" s="191"/>
      <c r="R23" s="36"/>
      <c r="S23" s="36"/>
      <c r="T23" s="36"/>
      <c r="U23" s="2"/>
      <c r="V23" s="2"/>
    </row>
    <row r="24" spans="1:22" ht="18" customHeight="1" thickTop="1" thickBot="1" x14ac:dyDescent="0.3">
      <c r="A24" s="184" t="s">
        <v>57</v>
      </c>
      <c r="B24" s="185">
        <v>102</v>
      </c>
      <c r="C24" s="186">
        <v>3</v>
      </c>
      <c r="D24" s="186" t="s">
        <v>105</v>
      </c>
      <c r="E24" s="186">
        <v>1</v>
      </c>
      <c r="F24" s="186">
        <v>5</v>
      </c>
      <c r="G24" s="187">
        <v>127.16500000000001</v>
      </c>
      <c r="H24" s="188">
        <v>11.717000000000001</v>
      </c>
      <c r="I24" s="189">
        <f t="shared" ref="I24:I31" si="4">H24*0.3</f>
        <v>3.5150999999999999</v>
      </c>
      <c r="J24" s="190">
        <v>4.9210000000000003</v>
      </c>
      <c r="K24" s="191">
        <v>1</v>
      </c>
      <c r="L24" s="192">
        <v>1700409.72</v>
      </c>
      <c r="M24" s="191" t="s">
        <v>35</v>
      </c>
      <c r="N24" s="191"/>
      <c r="O24" s="192">
        <f t="shared" si="3"/>
        <v>1400409.72</v>
      </c>
      <c r="P24" s="191"/>
      <c r="Q24" s="191"/>
      <c r="R24" s="36" t="s">
        <v>37</v>
      </c>
      <c r="S24" s="36" t="s">
        <v>37</v>
      </c>
      <c r="T24" s="36" t="s">
        <v>37</v>
      </c>
    </row>
    <row r="25" spans="1:22" ht="18" customHeight="1" thickTop="1" thickBot="1" x14ac:dyDescent="0.3">
      <c r="A25" s="184" t="s">
        <v>57</v>
      </c>
      <c r="B25" s="185">
        <v>102</v>
      </c>
      <c r="C25" s="186">
        <v>4</v>
      </c>
      <c r="D25" s="186" t="s">
        <v>106</v>
      </c>
      <c r="E25" s="186">
        <v>1</v>
      </c>
      <c r="F25" s="186">
        <v>4</v>
      </c>
      <c r="G25" s="187">
        <v>111.376</v>
      </c>
      <c r="H25" s="188">
        <v>16.713000000000001</v>
      </c>
      <c r="I25" s="189">
        <f t="shared" si="4"/>
        <v>5.0139000000000005</v>
      </c>
      <c r="J25" s="190">
        <v>3.6869999999999998</v>
      </c>
      <c r="K25" s="191">
        <v>1</v>
      </c>
      <c r="L25" s="192">
        <v>1514759.21</v>
      </c>
      <c r="M25" s="191" t="s">
        <v>35</v>
      </c>
      <c r="N25" s="191"/>
      <c r="O25" s="192">
        <f>L25-300000</f>
        <v>1214759.21</v>
      </c>
      <c r="P25" s="191"/>
      <c r="Q25" s="191"/>
      <c r="R25" s="36" t="s">
        <v>37</v>
      </c>
      <c r="S25" s="36" t="s">
        <v>37</v>
      </c>
      <c r="T25" s="36" t="s">
        <v>37</v>
      </c>
    </row>
    <row r="26" spans="1:22" ht="18" customHeight="1" thickTop="1" thickBot="1" x14ac:dyDescent="0.3">
      <c r="A26" s="184" t="s">
        <v>57</v>
      </c>
      <c r="B26" s="185">
        <v>102</v>
      </c>
      <c r="C26" s="186">
        <v>5</v>
      </c>
      <c r="D26" s="186" t="s">
        <v>107</v>
      </c>
      <c r="E26" s="186">
        <v>2</v>
      </c>
      <c r="F26" s="186">
        <v>5</v>
      </c>
      <c r="G26" s="187">
        <v>127.16500000000001</v>
      </c>
      <c r="H26" s="188">
        <v>23.155000000000001</v>
      </c>
      <c r="I26" s="189">
        <f t="shared" si="4"/>
        <v>6.9465000000000003</v>
      </c>
      <c r="J26" s="190">
        <v>4.9210000000000003</v>
      </c>
      <c r="K26" s="191">
        <v>1</v>
      </c>
      <c r="L26" s="192">
        <v>1743847.95</v>
      </c>
      <c r="M26" s="191" t="s">
        <v>35</v>
      </c>
      <c r="N26" s="191"/>
      <c r="O26" s="192">
        <f t="shared" si="3"/>
        <v>1443847.95</v>
      </c>
      <c r="P26" s="191"/>
      <c r="Q26" s="191"/>
      <c r="R26" s="36" t="s">
        <v>37</v>
      </c>
      <c r="S26" s="36" t="s">
        <v>37</v>
      </c>
      <c r="T26" s="36" t="s">
        <v>37</v>
      </c>
    </row>
    <row r="27" spans="1:22" ht="18" customHeight="1" thickTop="1" thickBot="1" x14ac:dyDescent="0.3">
      <c r="A27" s="184" t="s">
        <v>57</v>
      </c>
      <c r="B27" s="185">
        <v>102</v>
      </c>
      <c r="C27" s="186">
        <v>6</v>
      </c>
      <c r="D27" s="186" t="s">
        <v>108</v>
      </c>
      <c r="E27" s="186">
        <v>2</v>
      </c>
      <c r="F27" s="186">
        <v>4</v>
      </c>
      <c r="G27" s="187">
        <v>111.376</v>
      </c>
      <c r="H27" s="188">
        <v>11.57</v>
      </c>
      <c r="I27" s="189">
        <f t="shared" si="4"/>
        <v>3.4710000000000001</v>
      </c>
      <c r="J27" s="190">
        <v>3.6869999999999998</v>
      </c>
      <c r="K27" s="191">
        <v>1</v>
      </c>
      <c r="L27" s="192">
        <v>1495227.57</v>
      </c>
      <c r="M27" s="191" t="s">
        <v>35</v>
      </c>
      <c r="N27" s="191"/>
      <c r="O27" s="192">
        <f>L27*0.8</f>
        <v>1196182.0560000001</v>
      </c>
      <c r="P27" s="191"/>
      <c r="Q27" s="191"/>
      <c r="R27" s="36" t="s">
        <v>37</v>
      </c>
      <c r="S27" s="36" t="s">
        <v>37</v>
      </c>
      <c r="T27" s="36" t="s">
        <v>37</v>
      </c>
    </row>
    <row r="28" spans="1:22" ht="18" customHeight="1" thickTop="1" thickBot="1" x14ac:dyDescent="0.3">
      <c r="A28" s="184" t="s">
        <v>57</v>
      </c>
      <c r="B28" s="185">
        <v>102</v>
      </c>
      <c r="C28" s="186">
        <v>7</v>
      </c>
      <c r="D28" s="186" t="s">
        <v>109</v>
      </c>
      <c r="E28" s="186">
        <v>3</v>
      </c>
      <c r="F28" s="186">
        <v>5</v>
      </c>
      <c r="G28" s="187">
        <v>127.16500000000001</v>
      </c>
      <c r="H28" s="188">
        <v>17.937999999999999</v>
      </c>
      <c r="I28" s="189">
        <f t="shared" si="4"/>
        <v>5.3813999999999993</v>
      </c>
      <c r="J28" s="190">
        <v>4.9210000000000003</v>
      </c>
      <c r="K28" s="191">
        <v>1</v>
      </c>
      <c r="L28" s="192">
        <v>1724035.29</v>
      </c>
      <c r="M28" s="191" t="s">
        <v>35</v>
      </c>
      <c r="N28" s="191"/>
      <c r="O28" s="192">
        <f t="shared" si="3"/>
        <v>1424035.29</v>
      </c>
      <c r="P28" s="191"/>
      <c r="Q28" s="191"/>
      <c r="R28" s="36" t="s">
        <v>37</v>
      </c>
      <c r="S28" s="36" t="s">
        <v>37</v>
      </c>
      <c r="T28" s="36" t="s">
        <v>37</v>
      </c>
    </row>
    <row r="29" spans="1:22" ht="18" customHeight="1" thickTop="1" thickBot="1" x14ac:dyDescent="0.3">
      <c r="A29" s="184" t="s">
        <v>57</v>
      </c>
      <c r="B29" s="185">
        <v>102</v>
      </c>
      <c r="C29" s="186">
        <v>8</v>
      </c>
      <c r="D29" s="186" t="s">
        <v>110</v>
      </c>
      <c r="E29" s="186">
        <v>3</v>
      </c>
      <c r="F29" s="186">
        <v>4</v>
      </c>
      <c r="G29" s="187">
        <v>111.376</v>
      </c>
      <c r="H29" s="188">
        <v>14.475</v>
      </c>
      <c r="I29" s="189">
        <f t="shared" si="4"/>
        <v>4.3424999999999994</v>
      </c>
      <c r="J29" s="190">
        <v>3.6869999999999998</v>
      </c>
      <c r="K29" s="191">
        <v>1</v>
      </c>
      <c r="L29" s="192">
        <v>1506259.93</v>
      </c>
      <c r="M29" s="191" t="s">
        <v>35</v>
      </c>
      <c r="N29" s="191"/>
      <c r="O29" s="192">
        <f>L29-300000</f>
        <v>1206259.93</v>
      </c>
      <c r="P29" s="191"/>
      <c r="Q29" s="191"/>
      <c r="R29" s="36" t="s">
        <v>37</v>
      </c>
      <c r="S29" s="36" t="s">
        <v>37</v>
      </c>
      <c r="T29" s="36" t="s">
        <v>37</v>
      </c>
    </row>
    <row r="30" spans="1:22" ht="18" customHeight="1" thickTop="1" thickBot="1" x14ac:dyDescent="0.3">
      <c r="A30" s="191" t="s">
        <v>57</v>
      </c>
      <c r="B30" s="208">
        <v>102</v>
      </c>
      <c r="C30" s="191">
        <v>9</v>
      </c>
      <c r="D30" s="191" t="s">
        <v>107</v>
      </c>
      <c r="E30" s="191">
        <v>4</v>
      </c>
      <c r="F30" s="191">
        <v>5</v>
      </c>
      <c r="G30" s="187">
        <v>127.16500000000001</v>
      </c>
      <c r="H30" s="188">
        <v>23.155000000000001</v>
      </c>
      <c r="I30" s="189">
        <f t="shared" si="4"/>
        <v>6.9465000000000003</v>
      </c>
      <c r="J30" s="190">
        <v>4.9210000000000003</v>
      </c>
      <c r="K30" s="191">
        <v>1</v>
      </c>
      <c r="L30" s="192">
        <v>1743847.95</v>
      </c>
      <c r="M30" s="191" t="s">
        <v>35</v>
      </c>
      <c r="N30" s="191"/>
      <c r="O30" s="192">
        <f t="shared" si="3"/>
        <v>1443847.95</v>
      </c>
      <c r="P30" s="191"/>
      <c r="Q30" s="191"/>
      <c r="R30" s="74" t="s">
        <v>37</v>
      </c>
      <c r="S30" s="74" t="s">
        <v>37</v>
      </c>
      <c r="T30" s="74" t="s">
        <v>37</v>
      </c>
    </row>
    <row r="31" spans="1:22" ht="18" customHeight="1" thickTop="1" thickBot="1" x14ac:dyDescent="0.25">
      <c r="A31" s="184" t="s">
        <v>57</v>
      </c>
      <c r="B31" s="184">
        <v>102</v>
      </c>
      <c r="C31" s="191">
        <v>10</v>
      </c>
      <c r="D31" s="191" t="s">
        <v>108</v>
      </c>
      <c r="E31" s="191">
        <v>4</v>
      </c>
      <c r="F31" s="191">
        <v>4</v>
      </c>
      <c r="G31" s="187">
        <v>111.376</v>
      </c>
      <c r="H31" s="188">
        <v>11.778</v>
      </c>
      <c r="I31" s="189">
        <f t="shared" si="4"/>
        <v>3.5333999999999999</v>
      </c>
      <c r="J31" s="190">
        <v>3.6869999999999998</v>
      </c>
      <c r="K31" s="191">
        <v>1</v>
      </c>
      <c r="L31" s="192">
        <v>1496017.5</v>
      </c>
      <c r="M31" s="191" t="s">
        <v>35</v>
      </c>
      <c r="N31" s="191"/>
      <c r="O31" s="192">
        <f>L31*0.8</f>
        <v>1196814</v>
      </c>
      <c r="P31" s="184"/>
      <c r="Q31" s="191"/>
      <c r="R31" s="36" t="s">
        <v>37</v>
      </c>
      <c r="S31" s="36" t="s">
        <v>37</v>
      </c>
      <c r="T31" s="36" t="s">
        <v>37</v>
      </c>
    </row>
    <row r="32" spans="1:22" ht="18" customHeight="1" thickTop="1" thickBot="1" x14ac:dyDescent="0.3">
      <c r="A32" s="51" t="s">
        <v>57</v>
      </c>
      <c r="B32" s="49">
        <v>102</v>
      </c>
      <c r="C32" s="51">
        <v>11</v>
      </c>
      <c r="D32" s="51" t="s">
        <v>63</v>
      </c>
      <c r="E32" s="51">
        <v>5</v>
      </c>
      <c r="F32" s="51">
        <v>6</v>
      </c>
      <c r="G32" s="93">
        <v>156.08500000000001</v>
      </c>
      <c r="H32" s="78">
        <v>115.785</v>
      </c>
      <c r="I32" s="84">
        <v>20.579000000000001</v>
      </c>
      <c r="J32" s="94">
        <v>4.9210000000000003</v>
      </c>
      <c r="K32" s="51">
        <v>1</v>
      </c>
      <c r="L32" s="52">
        <v>2265577.63</v>
      </c>
      <c r="M32" s="51" t="s">
        <v>83</v>
      </c>
      <c r="N32" s="51"/>
      <c r="O32" s="52">
        <f t="shared" si="3"/>
        <v>1965577.63</v>
      </c>
      <c r="P32" s="51" t="s">
        <v>38</v>
      </c>
      <c r="Q32" s="51"/>
      <c r="R32" s="53"/>
      <c r="S32" s="53"/>
      <c r="T32" s="53"/>
    </row>
    <row r="33" spans="1:20" ht="18" customHeight="1" thickTop="1" thickBot="1" x14ac:dyDescent="0.3">
      <c r="A33" s="257" t="s">
        <v>135</v>
      </c>
      <c r="B33" s="258"/>
      <c r="C33" s="258"/>
      <c r="D33" s="258"/>
      <c r="E33" s="258"/>
      <c r="F33" s="258"/>
      <c r="G33" s="140">
        <v>122.1</v>
      </c>
      <c r="H33" s="139"/>
      <c r="I33" s="259" t="s">
        <v>136</v>
      </c>
      <c r="J33" s="258"/>
      <c r="K33" s="258"/>
      <c r="L33" s="141">
        <f>COUNTIF(L23:L32,"כן")/COUNT(C23:C32)</f>
        <v>0</v>
      </c>
      <c r="M33" s="143" t="s">
        <v>137</v>
      </c>
      <c r="N33" s="141"/>
      <c r="O33" s="141"/>
      <c r="P33" s="141"/>
      <c r="Q33" s="142"/>
      <c r="R33" s="131"/>
      <c r="S33" s="131"/>
      <c r="T33" s="131"/>
    </row>
    <row r="34" spans="1:20" ht="18" customHeight="1" thickTop="1" thickBot="1" x14ac:dyDescent="0.25">
      <c r="A34" s="161" t="s">
        <v>64</v>
      </c>
      <c r="B34" s="161">
        <v>102</v>
      </c>
      <c r="C34" s="155">
        <v>1</v>
      </c>
      <c r="D34" s="155" t="s">
        <v>112</v>
      </c>
      <c r="E34" s="155" t="s">
        <v>34</v>
      </c>
      <c r="F34" s="155">
        <v>5</v>
      </c>
      <c r="G34" s="157">
        <v>126.246</v>
      </c>
      <c r="H34" s="162">
        <v>52.38</v>
      </c>
      <c r="I34" s="163">
        <v>13.476000000000001</v>
      </c>
      <c r="J34" s="164">
        <v>5.2039999999999997</v>
      </c>
      <c r="K34" s="155">
        <v>2</v>
      </c>
      <c r="L34" s="158">
        <f>(G34+I34+J34*0.4+K34*2)*$P$5-(1.25*0.15*P5)</f>
        <v>1843360.0345440002</v>
      </c>
      <c r="M34" s="155" t="s">
        <v>35</v>
      </c>
      <c r="N34" s="155"/>
      <c r="O34" s="158">
        <f t="shared" si="3"/>
        <v>1543360.0345440002</v>
      </c>
      <c r="P34" s="155" t="s">
        <v>36</v>
      </c>
      <c r="Q34" s="155"/>
      <c r="R34" s="35"/>
      <c r="S34" s="35"/>
      <c r="T34" s="35"/>
    </row>
    <row r="35" spans="1:20" ht="18" customHeight="1" thickTop="1" thickBot="1" x14ac:dyDescent="0.3">
      <c r="A35" s="184" t="s">
        <v>64</v>
      </c>
      <c r="B35" s="185">
        <v>102</v>
      </c>
      <c r="C35" s="186">
        <v>2</v>
      </c>
      <c r="D35" s="186" t="s">
        <v>113</v>
      </c>
      <c r="E35" s="186" t="s">
        <v>34</v>
      </c>
      <c r="F35" s="186">
        <v>3</v>
      </c>
      <c r="G35" s="187">
        <v>92.116</v>
      </c>
      <c r="H35" s="188">
        <v>66.58</v>
      </c>
      <c r="I35" s="209">
        <v>15.657999999999999</v>
      </c>
      <c r="J35" s="190">
        <v>5.2240000000000002</v>
      </c>
      <c r="K35" s="191">
        <v>1</v>
      </c>
      <c r="L35" s="192">
        <v>1412067.81</v>
      </c>
      <c r="M35" s="191" t="s">
        <v>35</v>
      </c>
      <c r="N35" s="191"/>
      <c r="O35" s="192">
        <f>L35*0.8</f>
        <v>1129654.2480000001</v>
      </c>
      <c r="P35" s="191" t="s">
        <v>36</v>
      </c>
      <c r="Q35" s="191"/>
      <c r="R35" s="35" t="s">
        <v>37</v>
      </c>
      <c r="S35" s="35" t="s">
        <v>37</v>
      </c>
      <c r="T35" s="35" t="s">
        <v>37</v>
      </c>
    </row>
    <row r="36" spans="1:20" ht="18" customHeight="1" thickTop="1" thickBot="1" x14ac:dyDescent="0.3">
      <c r="A36" s="184" t="s">
        <v>64</v>
      </c>
      <c r="B36" s="185">
        <v>102</v>
      </c>
      <c r="C36" s="186">
        <v>3</v>
      </c>
      <c r="D36" s="186" t="s">
        <v>102</v>
      </c>
      <c r="E36" s="186">
        <v>1</v>
      </c>
      <c r="F36" s="186">
        <v>5</v>
      </c>
      <c r="G36" s="187">
        <v>126.754</v>
      </c>
      <c r="H36" s="188">
        <v>12.039</v>
      </c>
      <c r="I36" s="209">
        <f t="shared" ref="I36:I41" si="5">H36*0.3</f>
        <v>3.6116999999999999</v>
      </c>
      <c r="J36" s="190">
        <v>6.4370000000000003</v>
      </c>
      <c r="K36" s="191">
        <v>1</v>
      </c>
      <c r="L36" s="192">
        <v>1704886.59</v>
      </c>
      <c r="M36" s="191" t="s">
        <v>35</v>
      </c>
      <c r="N36" s="191"/>
      <c r="O36" s="192">
        <f t="shared" si="3"/>
        <v>1404886.59</v>
      </c>
      <c r="P36" s="191"/>
      <c r="Q36" s="191"/>
      <c r="R36" s="35" t="s">
        <v>37</v>
      </c>
      <c r="S36" s="35" t="s">
        <v>37</v>
      </c>
      <c r="T36" s="35" t="s">
        <v>37</v>
      </c>
    </row>
    <row r="37" spans="1:20" ht="18" customHeight="1" thickTop="1" thickBot="1" x14ac:dyDescent="0.3">
      <c r="A37" s="184" t="s">
        <v>64</v>
      </c>
      <c r="B37" s="185">
        <v>102</v>
      </c>
      <c r="C37" s="256">
        <v>4</v>
      </c>
      <c r="D37" s="186" t="s">
        <v>101</v>
      </c>
      <c r="E37" s="186">
        <v>1</v>
      </c>
      <c r="F37" s="186">
        <v>3</v>
      </c>
      <c r="G37" s="187">
        <v>92.114999999999995</v>
      </c>
      <c r="H37" s="188">
        <v>11.847</v>
      </c>
      <c r="I37" s="209">
        <f t="shared" si="5"/>
        <v>3.5540999999999996</v>
      </c>
      <c r="J37" s="190">
        <v>4.3730000000000002</v>
      </c>
      <c r="K37" s="191">
        <v>1</v>
      </c>
      <c r="L37" s="192">
        <v>1254524.1599999999</v>
      </c>
      <c r="M37" s="191" t="s">
        <v>35</v>
      </c>
      <c r="N37" s="191"/>
      <c r="O37" s="192">
        <f>L37*0.8</f>
        <v>1003619.328</v>
      </c>
      <c r="P37" s="191"/>
      <c r="Q37" s="191"/>
      <c r="R37" s="35" t="s">
        <v>37</v>
      </c>
      <c r="S37" s="35" t="s">
        <v>37</v>
      </c>
      <c r="T37" s="35" t="s">
        <v>37</v>
      </c>
    </row>
    <row r="38" spans="1:20" ht="18" customHeight="1" thickTop="1" thickBot="1" x14ac:dyDescent="0.3">
      <c r="A38" s="184" t="s">
        <v>64</v>
      </c>
      <c r="B38" s="185">
        <v>102</v>
      </c>
      <c r="C38" s="186">
        <v>5</v>
      </c>
      <c r="D38" s="186" t="s">
        <v>104</v>
      </c>
      <c r="E38" s="186">
        <v>2</v>
      </c>
      <c r="F38" s="186">
        <v>5</v>
      </c>
      <c r="G38" s="187">
        <v>126.754</v>
      </c>
      <c r="H38" s="188">
        <v>19.47</v>
      </c>
      <c r="I38" s="209">
        <f t="shared" si="5"/>
        <v>5.8409999999999993</v>
      </c>
      <c r="J38" s="190">
        <v>6.4370000000000003</v>
      </c>
      <c r="K38" s="191">
        <v>1</v>
      </c>
      <c r="L38" s="192">
        <v>1733107.39</v>
      </c>
      <c r="M38" s="191" t="s">
        <v>35</v>
      </c>
      <c r="N38" s="191"/>
      <c r="O38" s="192">
        <f t="shared" si="3"/>
        <v>1433107.39</v>
      </c>
      <c r="P38" s="191"/>
      <c r="Q38" s="191"/>
      <c r="R38" s="35" t="s">
        <v>37</v>
      </c>
      <c r="S38" s="35" t="s">
        <v>37</v>
      </c>
      <c r="T38" s="35" t="s">
        <v>37</v>
      </c>
    </row>
    <row r="39" spans="1:20" ht="18" customHeight="1" thickTop="1" thickBot="1" x14ac:dyDescent="0.3">
      <c r="A39" s="184" t="s">
        <v>64</v>
      </c>
      <c r="B39" s="185">
        <v>102</v>
      </c>
      <c r="C39" s="186">
        <v>6</v>
      </c>
      <c r="D39" s="186" t="s">
        <v>103</v>
      </c>
      <c r="E39" s="186">
        <v>2</v>
      </c>
      <c r="F39" s="186">
        <v>3</v>
      </c>
      <c r="G39" s="187">
        <v>92.114999999999995</v>
      </c>
      <c r="H39" s="188">
        <v>17.841999999999999</v>
      </c>
      <c r="I39" s="209">
        <f t="shared" si="5"/>
        <v>5.3525999999999998</v>
      </c>
      <c r="J39" s="190">
        <v>4.3730000000000002</v>
      </c>
      <c r="K39" s="191">
        <v>1</v>
      </c>
      <c r="L39" s="192">
        <v>1277291.44</v>
      </c>
      <c r="M39" s="191" t="s">
        <v>35</v>
      </c>
      <c r="N39" s="191"/>
      <c r="O39" s="192">
        <f>L39*0.8</f>
        <v>1021833.152</v>
      </c>
      <c r="P39" s="191"/>
      <c r="Q39" s="191"/>
      <c r="R39" s="35" t="s">
        <v>37</v>
      </c>
      <c r="S39" s="35" t="s">
        <v>37</v>
      </c>
      <c r="T39" s="35" t="s">
        <v>37</v>
      </c>
    </row>
    <row r="40" spans="1:20" ht="18" customHeight="1" thickTop="1" thickBot="1" x14ac:dyDescent="0.3">
      <c r="A40" s="184" t="s">
        <v>64</v>
      </c>
      <c r="B40" s="185">
        <v>102</v>
      </c>
      <c r="C40" s="186">
        <v>7</v>
      </c>
      <c r="D40" s="186" t="s">
        <v>102</v>
      </c>
      <c r="E40" s="186">
        <v>3</v>
      </c>
      <c r="F40" s="186">
        <v>5</v>
      </c>
      <c r="G40" s="187">
        <v>126.754</v>
      </c>
      <c r="H40" s="188">
        <v>12.039</v>
      </c>
      <c r="I40" s="209">
        <f t="shared" si="5"/>
        <v>3.6116999999999999</v>
      </c>
      <c r="J40" s="190">
        <v>6.4370000000000003</v>
      </c>
      <c r="K40" s="191">
        <v>1</v>
      </c>
      <c r="L40" s="192">
        <v>1704886.59</v>
      </c>
      <c r="M40" s="191" t="s">
        <v>35</v>
      </c>
      <c r="N40" s="191"/>
      <c r="O40" s="192">
        <f t="shared" si="3"/>
        <v>1404886.59</v>
      </c>
      <c r="P40" s="191"/>
      <c r="Q40" s="191"/>
      <c r="R40" s="35" t="s">
        <v>37</v>
      </c>
      <c r="S40" s="35" t="s">
        <v>37</v>
      </c>
      <c r="T40" s="35" t="s">
        <v>37</v>
      </c>
    </row>
    <row r="41" spans="1:20" ht="18" customHeight="1" thickTop="1" thickBot="1" x14ac:dyDescent="0.3">
      <c r="A41" s="184" t="s">
        <v>64</v>
      </c>
      <c r="B41" s="185">
        <v>102</v>
      </c>
      <c r="C41" s="256">
        <v>8</v>
      </c>
      <c r="D41" s="186" t="s">
        <v>101</v>
      </c>
      <c r="E41" s="186">
        <v>3</v>
      </c>
      <c r="F41" s="186">
        <v>3</v>
      </c>
      <c r="G41" s="187">
        <v>92.114999999999995</v>
      </c>
      <c r="H41" s="188">
        <v>11.847</v>
      </c>
      <c r="I41" s="209">
        <f t="shared" si="5"/>
        <v>3.5540999999999996</v>
      </c>
      <c r="J41" s="190">
        <v>4.3730000000000002</v>
      </c>
      <c r="K41" s="191">
        <v>1</v>
      </c>
      <c r="L41" s="192">
        <v>1254524.1599999999</v>
      </c>
      <c r="M41" s="191" t="s">
        <v>35</v>
      </c>
      <c r="N41" s="191"/>
      <c r="O41" s="192">
        <f>L41*0.8</f>
        <v>1003619.328</v>
      </c>
      <c r="P41" s="191"/>
      <c r="Q41" s="191"/>
      <c r="R41" s="35" t="s">
        <v>37</v>
      </c>
      <c r="S41" s="35" t="s">
        <v>37</v>
      </c>
      <c r="T41" s="35" t="s">
        <v>37</v>
      </c>
    </row>
    <row r="42" spans="1:20" ht="18" customHeight="1" thickTop="1" thickBot="1" x14ac:dyDescent="0.25">
      <c r="A42" s="51" t="s">
        <v>64</v>
      </c>
      <c r="B42" s="51">
        <v>102</v>
      </c>
      <c r="C42" s="50">
        <v>9</v>
      </c>
      <c r="D42" s="50" t="s">
        <v>60</v>
      </c>
      <c r="E42" s="50">
        <v>4</v>
      </c>
      <c r="F42" s="50">
        <v>6</v>
      </c>
      <c r="G42" s="93">
        <v>178.97200000000001</v>
      </c>
      <c r="H42" s="78">
        <v>67.147999999999996</v>
      </c>
      <c r="I42" s="84">
        <v>15.715</v>
      </c>
      <c r="J42" s="94">
        <v>6.7080000000000002</v>
      </c>
      <c r="K42" s="51">
        <v>2</v>
      </c>
      <c r="L42" s="52">
        <v>2484642.9500000002</v>
      </c>
      <c r="M42" s="51" t="s">
        <v>83</v>
      </c>
      <c r="N42" s="51"/>
      <c r="O42" s="52">
        <f t="shared" si="3"/>
        <v>2184642.9500000002</v>
      </c>
      <c r="P42" s="51" t="s">
        <v>38</v>
      </c>
      <c r="Q42" s="51"/>
      <c r="R42" s="48" t="s">
        <v>37</v>
      </c>
      <c r="S42" s="48" t="s">
        <v>37</v>
      </c>
      <c r="T42" s="48" t="s">
        <v>37</v>
      </c>
    </row>
    <row r="43" spans="1:20" ht="18" customHeight="1" thickTop="1" thickBot="1" x14ac:dyDescent="0.3">
      <c r="A43" s="262" t="s">
        <v>135</v>
      </c>
      <c r="B43" s="263"/>
      <c r="C43" s="263"/>
      <c r="D43" s="263"/>
      <c r="E43" s="263"/>
      <c r="F43" s="263"/>
      <c r="G43" s="167">
        <v>117.1</v>
      </c>
      <c r="H43" s="166"/>
      <c r="I43" s="264" t="s">
        <v>136</v>
      </c>
      <c r="J43" s="263"/>
      <c r="K43" s="263"/>
      <c r="L43" s="168">
        <f>COUNTIF(L33:L42,"כן")/COUNT(C33:C42)</f>
        <v>0</v>
      </c>
      <c r="M43" s="169" t="s">
        <v>138</v>
      </c>
      <c r="N43" s="170"/>
      <c r="O43" s="170"/>
      <c r="P43" s="6"/>
      <c r="Q43" s="6"/>
      <c r="R43" s="6"/>
      <c r="S43" s="6"/>
      <c r="T43" s="6"/>
    </row>
    <row r="44" spans="1:20" ht="18" customHeight="1" thickTop="1" thickBot="1" x14ac:dyDescent="0.3">
      <c r="A44" s="185" t="s">
        <v>65</v>
      </c>
      <c r="B44" s="185">
        <v>102</v>
      </c>
      <c r="C44" s="186">
        <v>1</v>
      </c>
      <c r="D44" s="186" t="s">
        <v>114</v>
      </c>
      <c r="E44" s="186" t="s">
        <v>34</v>
      </c>
      <c r="F44" s="186">
        <v>4</v>
      </c>
      <c r="G44" s="197">
        <v>114.661</v>
      </c>
      <c r="H44" s="188">
        <v>68.08</v>
      </c>
      <c r="I44" s="209">
        <v>15.808</v>
      </c>
      <c r="J44" s="190">
        <v>3.6869999999999998</v>
      </c>
      <c r="K44" s="191">
        <v>1</v>
      </c>
      <c r="L44" s="192">
        <v>1686749.35</v>
      </c>
      <c r="M44" s="191" t="s">
        <v>35</v>
      </c>
      <c r="N44" s="191"/>
      <c r="O44" s="192">
        <f t="shared" si="3"/>
        <v>1386749.35</v>
      </c>
      <c r="P44" s="191" t="s">
        <v>36</v>
      </c>
      <c r="Q44" s="191"/>
      <c r="R44" s="74" t="s">
        <v>37</v>
      </c>
      <c r="S44" s="74" t="s">
        <v>37</v>
      </c>
      <c r="T44" s="74" t="s">
        <v>37</v>
      </c>
    </row>
    <row r="45" spans="1:20" ht="18" customHeight="1" thickTop="1" thickBot="1" x14ac:dyDescent="0.3">
      <c r="A45" s="235" t="s">
        <v>65</v>
      </c>
      <c r="B45" s="54">
        <v>102</v>
      </c>
      <c r="C45" s="54">
        <v>2</v>
      </c>
      <c r="D45" s="54" t="s">
        <v>115</v>
      </c>
      <c r="E45" s="54" t="s">
        <v>34</v>
      </c>
      <c r="F45" s="54">
        <v>5</v>
      </c>
      <c r="G45" s="91">
        <v>127.16500000000001</v>
      </c>
      <c r="H45" s="105">
        <v>116.51</v>
      </c>
      <c r="I45" s="101">
        <v>20.651</v>
      </c>
      <c r="J45" s="106">
        <v>4.9210000000000003</v>
      </c>
      <c r="K45" s="54">
        <v>1</v>
      </c>
      <c r="L45" s="180">
        <v>1917333.77</v>
      </c>
      <c r="M45" s="54" t="s">
        <v>83</v>
      </c>
      <c r="N45" s="54"/>
      <c r="O45" s="180">
        <f t="shared" si="3"/>
        <v>1617333.77</v>
      </c>
      <c r="P45" s="54" t="s">
        <v>36</v>
      </c>
      <c r="Q45" s="54"/>
      <c r="R45" s="53"/>
      <c r="S45" s="53"/>
      <c r="T45" s="53"/>
    </row>
    <row r="46" spans="1:20" ht="18" customHeight="1" thickTop="1" thickBot="1" x14ac:dyDescent="0.3">
      <c r="A46" s="185" t="s">
        <v>65</v>
      </c>
      <c r="B46" s="185">
        <v>102</v>
      </c>
      <c r="C46" s="186">
        <v>3</v>
      </c>
      <c r="D46" s="186" t="s">
        <v>106</v>
      </c>
      <c r="E46" s="186">
        <v>1</v>
      </c>
      <c r="F46" s="186">
        <v>4</v>
      </c>
      <c r="G46" s="197">
        <v>111.376</v>
      </c>
      <c r="H46" s="188">
        <v>16.704999999999998</v>
      </c>
      <c r="I46" s="189">
        <f t="shared" ref="I46:I51" si="6">H46*0.3</f>
        <v>5.011499999999999</v>
      </c>
      <c r="J46" s="190">
        <v>3.6869999999999998</v>
      </c>
      <c r="K46" s="191">
        <v>1</v>
      </c>
      <c r="L46" s="192">
        <v>1514728.82</v>
      </c>
      <c r="M46" s="191" t="s">
        <v>35</v>
      </c>
      <c r="N46" s="191"/>
      <c r="O46" s="192">
        <f>L46-300000</f>
        <v>1214728.82</v>
      </c>
      <c r="P46" s="191"/>
      <c r="Q46" s="191"/>
      <c r="R46" s="36" t="s">
        <v>37</v>
      </c>
      <c r="S46" s="36" t="s">
        <v>37</v>
      </c>
      <c r="T46" s="36" t="s">
        <v>37</v>
      </c>
    </row>
    <row r="47" spans="1:20" ht="18" customHeight="1" thickTop="1" thickBot="1" x14ac:dyDescent="0.3">
      <c r="A47" s="87" t="s">
        <v>65</v>
      </c>
      <c r="B47" s="87">
        <v>102</v>
      </c>
      <c r="C47" s="236">
        <v>4</v>
      </c>
      <c r="D47" s="237" t="s">
        <v>105</v>
      </c>
      <c r="E47" s="237">
        <v>1</v>
      </c>
      <c r="F47" s="237">
        <v>5</v>
      </c>
      <c r="G47" s="89">
        <v>127.16500000000001</v>
      </c>
      <c r="H47" s="103">
        <v>11.717000000000001</v>
      </c>
      <c r="I47" s="109">
        <f t="shared" si="6"/>
        <v>3.5150999999999999</v>
      </c>
      <c r="J47" s="104">
        <v>4.9210000000000003</v>
      </c>
      <c r="K47" s="90">
        <v>1</v>
      </c>
      <c r="L47" s="178">
        <v>1700409.72</v>
      </c>
      <c r="M47" s="90" t="s">
        <v>35</v>
      </c>
      <c r="N47" s="90"/>
      <c r="O47" s="178">
        <f t="shared" si="3"/>
        <v>1400409.72</v>
      </c>
      <c r="P47" s="90"/>
      <c r="Q47" s="26"/>
      <c r="R47" s="36" t="s">
        <v>37</v>
      </c>
      <c r="S47" s="36" t="s">
        <v>37</v>
      </c>
      <c r="T47" s="36" t="s">
        <v>37</v>
      </c>
    </row>
    <row r="48" spans="1:20" ht="18" customHeight="1" thickTop="1" thickBot="1" x14ac:dyDescent="0.3">
      <c r="A48" s="185" t="s">
        <v>65</v>
      </c>
      <c r="B48" s="185">
        <v>102</v>
      </c>
      <c r="C48" s="186">
        <v>5</v>
      </c>
      <c r="D48" s="186" t="s">
        <v>108</v>
      </c>
      <c r="E48" s="186">
        <v>2</v>
      </c>
      <c r="F48" s="186">
        <v>4</v>
      </c>
      <c r="G48" s="197">
        <v>111.376</v>
      </c>
      <c r="H48" s="188">
        <v>11.574</v>
      </c>
      <c r="I48" s="189">
        <f t="shared" si="6"/>
        <v>3.4722</v>
      </c>
      <c r="J48" s="190">
        <v>3.6869999999999998</v>
      </c>
      <c r="K48" s="191">
        <v>1</v>
      </c>
      <c r="L48" s="192">
        <v>1495242.76</v>
      </c>
      <c r="M48" s="191" t="s">
        <v>35</v>
      </c>
      <c r="N48" s="191"/>
      <c r="O48" s="192">
        <f>L48*0.8</f>
        <v>1196194.2080000001</v>
      </c>
      <c r="P48" s="191"/>
      <c r="Q48" s="191"/>
      <c r="R48" s="36" t="s">
        <v>37</v>
      </c>
      <c r="S48" s="36" t="s">
        <v>37</v>
      </c>
      <c r="T48" s="36" t="s">
        <v>37</v>
      </c>
    </row>
    <row r="49" spans="1:20" ht="18" customHeight="1" thickTop="1" thickBot="1" x14ac:dyDescent="0.3">
      <c r="A49" s="185" t="s">
        <v>65</v>
      </c>
      <c r="B49" s="185">
        <v>102</v>
      </c>
      <c r="C49" s="186">
        <v>6</v>
      </c>
      <c r="D49" s="186" t="s">
        <v>111</v>
      </c>
      <c r="E49" s="186">
        <v>2</v>
      </c>
      <c r="F49" s="186">
        <v>5</v>
      </c>
      <c r="G49" s="197">
        <v>127.16500000000001</v>
      </c>
      <c r="H49" s="188">
        <v>14.744</v>
      </c>
      <c r="I49" s="189">
        <f t="shared" si="6"/>
        <v>4.4231999999999996</v>
      </c>
      <c r="J49" s="190">
        <v>4.9210000000000003</v>
      </c>
      <c r="K49" s="191">
        <v>1</v>
      </c>
      <c r="L49" s="192">
        <v>1711905.4</v>
      </c>
      <c r="M49" s="191" t="s">
        <v>35</v>
      </c>
      <c r="N49" s="191"/>
      <c r="O49" s="192">
        <f t="shared" si="3"/>
        <v>1411905.4</v>
      </c>
      <c r="P49" s="191"/>
      <c r="Q49" s="191"/>
      <c r="R49" s="36" t="s">
        <v>37</v>
      </c>
      <c r="S49" s="36" t="s">
        <v>37</v>
      </c>
      <c r="T49" s="36" t="s">
        <v>37</v>
      </c>
    </row>
    <row r="50" spans="1:20" ht="18" customHeight="1" thickTop="1" thickBot="1" x14ac:dyDescent="0.3">
      <c r="A50" s="185" t="s">
        <v>65</v>
      </c>
      <c r="B50" s="185">
        <v>102</v>
      </c>
      <c r="C50" s="186">
        <v>7</v>
      </c>
      <c r="D50" s="186" t="s">
        <v>110</v>
      </c>
      <c r="E50" s="186">
        <v>3</v>
      </c>
      <c r="F50" s="186">
        <v>4</v>
      </c>
      <c r="G50" s="197">
        <v>111.376</v>
      </c>
      <c r="H50" s="188">
        <v>14.468</v>
      </c>
      <c r="I50" s="189">
        <f t="shared" si="6"/>
        <v>4.3403999999999998</v>
      </c>
      <c r="J50" s="190">
        <v>3.6869999999999998</v>
      </c>
      <c r="K50" s="191">
        <v>1</v>
      </c>
      <c r="L50" s="192">
        <v>1506233.34</v>
      </c>
      <c r="M50" s="191" t="s">
        <v>35</v>
      </c>
      <c r="N50" s="191"/>
      <c r="O50" s="192">
        <f>L50-300000</f>
        <v>1206233.3400000001</v>
      </c>
      <c r="P50" s="191"/>
      <c r="Q50" s="191"/>
      <c r="R50" s="36" t="s">
        <v>37</v>
      </c>
      <c r="S50" s="36" t="s">
        <v>37</v>
      </c>
      <c r="T50" s="36" t="s">
        <v>37</v>
      </c>
    </row>
    <row r="51" spans="1:20" ht="18" customHeight="1" thickTop="1" thickBot="1" x14ac:dyDescent="0.3">
      <c r="A51" s="185" t="s">
        <v>65</v>
      </c>
      <c r="B51" s="185">
        <v>102</v>
      </c>
      <c r="C51" s="186">
        <v>8</v>
      </c>
      <c r="D51" s="186" t="s">
        <v>109</v>
      </c>
      <c r="E51" s="186">
        <v>3</v>
      </c>
      <c r="F51" s="186">
        <v>5</v>
      </c>
      <c r="G51" s="197">
        <v>127.16500000000001</v>
      </c>
      <c r="H51" s="188">
        <v>17.937999999999999</v>
      </c>
      <c r="I51" s="189">
        <f t="shared" si="6"/>
        <v>5.3813999999999993</v>
      </c>
      <c r="J51" s="190">
        <v>4.9210000000000003</v>
      </c>
      <c r="K51" s="191">
        <v>1</v>
      </c>
      <c r="L51" s="192">
        <v>1724035.29</v>
      </c>
      <c r="M51" s="191" t="s">
        <v>35</v>
      </c>
      <c r="N51" s="191"/>
      <c r="O51" s="192">
        <f t="shared" si="3"/>
        <v>1424035.29</v>
      </c>
      <c r="P51" s="191"/>
      <c r="Q51" s="191"/>
      <c r="R51" s="36" t="s">
        <v>37</v>
      </c>
      <c r="S51" s="36" t="s">
        <v>37</v>
      </c>
      <c r="T51" s="36" t="s">
        <v>37</v>
      </c>
    </row>
    <row r="52" spans="1:20" ht="18" customHeight="1" thickTop="1" thickBot="1" x14ac:dyDescent="0.3">
      <c r="A52" s="49" t="s">
        <v>65</v>
      </c>
      <c r="B52" s="49">
        <v>102</v>
      </c>
      <c r="C52" s="51">
        <v>9</v>
      </c>
      <c r="D52" s="51" t="s">
        <v>63</v>
      </c>
      <c r="E52" s="51">
        <v>4</v>
      </c>
      <c r="F52" s="51">
        <v>6</v>
      </c>
      <c r="G52" s="95">
        <v>156.08500000000001</v>
      </c>
      <c r="H52" s="78">
        <v>115.785</v>
      </c>
      <c r="I52" s="84">
        <v>20.579000000000001</v>
      </c>
      <c r="J52" s="94">
        <v>4.9210000000000003</v>
      </c>
      <c r="K52" s="51">
        <v>1</v>
      </c>
      <c r="L52" s="52">
        <v>2265577.63</v>
      </c>
      <c r="M52" s="51" t="s">
        <v>83</v>
      </c>
      <c r="N52" s="51"/>
      <c r="O52" s="52">
        <f t="shared" si="3"/>
        <v>1965577.63</v>
      </c>
      <c r="P52" s="51" t="s">
        <v>38</v>
      </c>
      <c r="Q52" s="126"/>
      <c r="R52" s="127"/>
      <c r="S52" s="127"/>
      <c r="T52" s="127"/>
    </row>
    <row r="53" spans="1:20" ht="18" customHeight="1" thickTop="1" thickBot="1" x14ac:dyDescent="0.3">
      <c r="A53" s="257" t="s">
        <v>135</v>
      </c>
      <c r="B53" s="258"/>
      <c r="C53" s="258"/>
      <c r="D53" s="258"/>
      <c r="E53" s="258"/>
      <c r="F53" s="258"/>
      <c r="G53" s="140">
        <v>123.17</v>
      </c>
      <c r="H53" s="139"/>
      <c r="I53" s="259" t="s">
        <v>136</v>
      </c>
      <c r="J53" s="258"/>
      <c r="K53" s="258"/>
      <c r="L53" s="141">
        <f>COUNTIF(L43:L52,"כן")/COUNT(C43:C52)</f>
        <v>0</v>
      </c>
      <c r="M53" s="144">
        <v>0.77780000000000005</v>
      </c>
      <c r="N53" s="141"/>
      <c r="O53" s="132"/>
      <c r="P53" s="132"/>
      <c r="Q53" s="132"/>
      <c r="R53" s="132"/>
      <c r="S53" s="132"/>
      <c r="T53" s="132"/>
    </row>
    <row r="54" spans="1:20" ht="18" customHeight="1" thickTop="1" thickBot="1" x14ac:dyDescent="0.3">
      <c r="A54" s="47" t="s">
        <v>66</v>
      </c>
      <c r="B54" s="45">
        <v>102</v>
      </c>
      <c r="C54" s="44">
        <v>1</v>
      </c>
      <c r="D54" s="44" t="s">
        <v>116</v>
      </c>
      <c r="E54" s="44" t="s">
        <v>34</v>
      </c>
      <c r="F54" s="44">
        <v>5</v>
      </c>
      <c r="G54" s="91">
        <v>127.16500000000001</v>
      </c>
      <c r="H54" s="112">
        <v>138.30000000000001</v>
      </c>
      <c r="I54" s="101">
        <v>21</v>
      </c>
      <c r="J54" s="108">
        <v>4.9210000000000003</v>
      </c>
      <c r="K54" s="45">
        <v>1</v>
      </c>
      <c r="L54" s="46">
        <v>1921751.77</v>
      </c>
      <c r="M54" s="45" t="s">
        <v>83</v>
      </c>
      <c r="N54" s="45"/>
      <c r="O54" s="46">
        <f t="shared" si="3"/>
        <v>1621751.77</v>
      </c>
      <c r="P54" s="45" t="s">
        <v>36</v>
      </c>
      <c r="Q54" s="45"/>
      <c r="R54" s="48" t="s">
        <v>37</v>
      </c>
      <c r="S54" s="48" t="s">
        <v>37</v>
      </c>
      <c r="T54" s="48" t="s">
        <v>37</v>
      </c>
    </row>
    <row r="55" spans="1:20" ht="18" customHeight="1" thickTop="1" thickBot="1" x14ac:dyDescent="0.3">
      <c r="A55" s="185" t="s">
        <v>66</v>
      </c>
      <c r="B55" s="185">
        <v>102</v>
      </c>
      <c r="C55" s="191">
        <v>2</v>
      </c>
      <c r="D55" s="191" t="s">
        <v>117</v>
      </c>
      <c r="E55" s="191" t="s">
        <v>34</v>
      </c>
      <c r="F55" s="191">
        <v>4</v>
      </c>
      <c r="G55" s="197">
        <v>114.661</v>
      </c>
      <c r="H55" s="210">
        <v>98.48</v>
      </c>
      <c r="I55" s="189">
        <v>18.847999999999999</v>
      </c>
      <c r="J55" s="211">
        <v>3.6869999999999998</v>
      </c>
      <c r="K55" s="191">
        <v>1</v>
      </c>
      <c r="L55" s="192">
        <v>1725232.84</v>
      </c>
      <c r="M55" s="191" t="s">
        <v>35</v>
      </c>
      <c r="N55" s="191"/>
      <c r="O55" s="192">
        <f t="shared" si="3"/>
        <v>1425232.84</v>
      </c>
      <c r="P55" s="191" t="s">
        <v>36</v>
      </c>
      <c r="Q55" s="191"/>
      <c r="R55" s="35"/>
      <c r="S55" s="35"/>
      <c r="T55" s="35"/>
    </row>
    <row r="56" spans="1:20" ht="18" customHeight="1" thickTop="1" thickBot="1" x14ac:dyDescent="0.3">
      <c r="A56" s="185" t="s">
        <v>66</v>
      </c>
      <c r="B56" s="184">
        <v>102</v>
      </c>
      <c r="C56" s="256">
        <v>3</v>
      </c>
      <c r="D56" s="186" t="s">
        <v>105</v>
      </c>
      <c r="E56" s="186">
        <v>1</v>
      </c>
      <c r="F56" s="186">
        <v>5</v>
      </c>
      <c r="G56" s="197">
        <v>127.16500000000001</v>
      </c>
      <c r="H56" s="210">
        <v>11.717000000000001</v>
      </c>
      <c r="I56" s="209">
        <f t="shared" ref="I56:I61" si="7">H56*0.3</f>
        <v>3.5150999999999999</v>
      </c>
      <c r="J56" s="211">
        <v>4.9210000000000003</v>
      </c>
      <c r="K56" s="191">
        <v>1</v>
      </c>
      <c r="L56" s="192">
        <v>1700409.72</v>
      </c>
      <c r="M56" s="191" t="s">
        <v>35</v>
      </c>
      <c r="N56" s="191"/>
      <c r="O56" s="192">
        <f t="shared" si="3"/>
        <v>1400409.72</v>
      </c>
      <c r="P56" s="191"/>
      <c r="Q56" s="191"/>
      <c r="R56" s="35" t="s">
        <v>37</v>
      </c>
      <c r="S56" s="35" t="s">
        <v>37</v>
      </c>
      <c r="T56" s="35" t="s">
        <v>37</v>
      </c>
    </row>
    <row r="57" spans="1:20" ht="18" customHeight="1" thickTop="1" thickBot="1" x14ac:dyDescent="0.3">
      <c r="A57" s="185" t="s">
        <v>66</v>
      </c>
      <c r="B57" s="185">
        <v>102</v>
      </c>
      <c r="C57" s="186">
        <v>4</v>
      </c>
      <c r="D57" s="186" t="s">
        <v>106</v>
      </c>
      <c r="E57" s="186">
        <v>1</v>
      </c>
      <c r="F57" s="186">
        <v>4</v>
      </c>
      <c r="G57" s="197">
        <v>111.376</v>
      </c>
      <c r="H57" s="210">
        <v>16.704999999999998</v>
      </c>
      <c r="I57" s="209">
        <f t="shared" si="7"/>
        <v>5.011499999999999</v>
      </c>
      <c r="J57" s="211">
        <v>3.6869999999999998</v>
      </c>
      <c r="K57" s="191">
        <v>1</v>
      </c>
      <c r="L57" s="192">
        <v>1514728.82</v>
      </c>
      <c r="M57" s="191" t="s">
        <v>35</v>
      </c>
      <c r="N57" s="191"/>
      <c r="O57" s="192">
        <f>L57-300000</f>
        <v>1214728.82</v>
      </c>
      <c r="P57" s="191"/>
      <c r="Q57" s="191"/>
      <c r="R57" s="35" t="s">
        <v>37</v>
      </c>
      <c r="S57" s="35" t="s">
        <v>37</v>
      </c>
      <c r="T57" s="35" t="s">
        <v>37</v>
      </c>
    </row>
    <row r="58" spans="1:20" ht="18" customHeight="1" thickTop="1" thickBot="1" x14ac:dyDescent="0.3">
      <c r="A58" s="185" t="s">
        <v>66</v>
      </c>
      <c r="B58" s="185">
        <v>102</v>
      </c>
      <c r="C58" s="186">
        <v>5</v>
      </c>
      <c r="D58" s="186" t="s">
        <v>111</v>
      </c>
      <c r="E58" s="186">
        <v>2</v>
      </c>
      <c r="F58" s="186">
        <v>5</v>
      </c>
      <c r="G58" s="197">
        <v>127.16500000000001</v>
      </c>
      <c r="H58" s="210">
        <v>14.74</v>
      </c>
      <c r="I58" s="209">
        <f t="shared" si="7"/>
        <v>4.4219999999999997</v>
      </c>
      <c r="J58" s="211">
        <v>4.9210000000000003</v>
      </c>
      <c r="K58" s="191">
        <v>1</v>
      </c>
      <c r="L58" s="192">
        <v>1711890.21</v>
      </c>
      <c r="M58" s="191" t="s">
        <v>35</v>
      </c>
      <c r="N58" s="191"/>
      <c r="O58" s="192">
        <f t="shared" si="3"/>
        <v>1411890.21</v>
      </c>
      <c r="P58" s="191"/>
      <c r="Q58" s="191"/>
      <c r="R58" s="35" t="s">
        <v>37</v>
      </c>
      <c r="S58" s="35" t="s">
        <v>37</v>
      </c>
      <c r="T58" s="35" t="s">
        <v>37</v>
      </c>
    </row>
    <row r="59" spans="1:20" ht="18" customHeight="1" thickTop="1" thickBot="1" x14ac:dyDescent="0.3">
      <c r="A59" s="185" t="s">
        <v>66</v>
      </c>
      <c r="B59" s="185">
        <v>102</v>
      </c>
      <c r="C59" s="186">
        <v>6</v>
      </c>
      <c r="D59" s="186" t="s">
        <v>108</v>
      </c>
      <c r="E59" s="186">
        <v>2</v>
      </c>
      <c r="F59" s="186">
        <v>4</v>
      </c>
      <c r="G59" s="197">
        <v>111.376</v>
      </c>
      <c r="H59" s="210">
        <v>11.57</v>
      </c>
      <c r="I59" s="209">
        <f t="shared" si="7"/>
        <v>3.4710000000000001</v>
      </c>
      <c r="J59" s="211">
        <v>3.6869999999999998</v>
      </c>
      <c r="K59" s="191">
        <v>1</v>
      </c>
      <c r="L59" s="192">
        <v>1495227.57</v>
      </c>
      <c r="M59" s="191" t="s">
        <v>35</v>
      </c>
      <c r="N59" s="191"/>
      <c r="O59" s="192">
        <f>L59*0.8</f>
        <v>1196182.0560000001</v>
      </c>
      <c r="P59" s="191"/>
      <c r="Q59" s="191"/>
      <c r="R59" s="35" t="s">
        <v>37</v>
      </c>
      <c r="S59" s="35" t="s">
        <v>37</v>
      </c>
      <c r="T59" s="35" t="s">
        <v>37</v>
      </c>
    </row>
    <row r="60" spans="1:20" ht="18" customHeight="1" thickTop="1" thickBot="1" x14ac:dyDescent="0.3">
      <c r="A60" s="185" t="s">
        <v>66</v>
      </c>
      <c r="B60" s="185">
        <v>102</v>
      </c>
      <c r="C60" s="186">
        <v>7</v>
      </c>
      <c r="D60" s="186" t="s">
        <v>109</v>
      </c>
      <c r="E60" s="186">
        <v>3</v>
      </c>
      <c r="F60" s="186">
        <v>5</v>
      </c>
      <c r="G60" s="197">
        <v>127.16500000000001</v>
      </c>
      <c r="H60" s="210">
        <v>17.937999999999999</v>
      </c>
      <c r="I60" s="209">
        <f t="shared" si="7"/>
        <v>5.3813999999999993</v>
      </c>
      <c r="J60" s="211">
        <v>4.9210000000000003</v>
      </c>
      <c r="K60" s="191">
        <v>1</v>
      </c>
      <c r="L60" s="192">
        <v>1724035.29</v>
      </c>
      <c r="M60" s="191" t="s">
        <v>35</v>
      </c>
      <c r="N60" s="191"/>
      <c r="O60" s="192">
        <f t="shared" si="3"/>
        <v>1424035.29</v>
      </c>
      <c r="P60" s="191"/>
      <c r="Q60" s="191"/>
      <c r="R60" s="35" t="s">
        <v>37</v>
      </c>
      <c r="S60" s="35" t="s">
        <v>37</v>
      </c>
      <c r="T60" s="35" t="s">
        <v>37</v>
      </c>
    </row>
    <row r="61" spans="1:20" ht="18" customHeight="1" thickTop="1" thickBot="1" x14ac:dyDescent="0.3">
      <c r="A61" s="185" t="s">
        <v>66</v>
      </c>
      <c r="B61" s="185">
        <v>102</v>
      </c>
      <c r="C61" s="186">
        <v>8</v>
      </c>
      <c r="D61" s="186" t="s">
        <v>110</v>
      </c>
      <c r="E61" s="186">
        <v>3</v>
      </c>
      <c r="F61" s="186">
        <v>4</v>
      </c>
      <c r="G61" s="197">
        <v>111.376</v>
      </c>
      <c r="H61" s="224">
        <v>14.468</v>
      </c>
      <c r="I61" s="209">
        <f t="shared" si="7"/>
        <v>4.3403999999999998</v>
      </c>
      <c r="J61" s="211">
        <v>3.6869999999999998</v>
      </c>
      <c r="K61" s="191">
        <v>1</v>
      </c>
      <c r="L61" s="192">
        <v>1506233.34</v>
      </c>
      <c r="M61" s="191" t="s">
        <v>35</v>
      </c>
      <c r="N61" s="191"/>
      <c r="O61" s="192">
        <f>L61-300000</f>
        <v>1206233.3400000001</v>
      </c>
      <c r="P61" s="191"/>
      <c r="Q61" s="191"/>
      <c r="R61" s="35" t="s">
        <v>37</v>
      </c>
      <c r="S61" s="35" t="s">
        <v>37</v>
      </c>
      <c r="T61" s="35" t="s">
        <v>37</v>
      </c>
    </row>
    <row r="62" spans="1:20" ht="18" customHeight="1" thickTop="1" thickBot="1" x14ac:dyDescent="0.3">
      <c r="A62" s="47" t="s">
        <v>66</v>
      </c>
      <c r="B62" s="47">
        <v>102</v>
      </c>
      <c r="C62" s="44">
        <v>9</v>
      </c>
      <c r="D62" s="44" t="s">
        <v>63</v>
      </c>
      <c r="E62" s="44">
        <v>4</v>
      </c>
      <c r="F62" s="44">
        <v>6</v>
      </c>
      <c r="G62" s="112">
        <v>156.08500000000001</v>
      </c>
      <c r="H62" s="113">
        <v>115.785</v>
      </c>
      <c r="I62" s="114">
        <v>20.579000000000001</v>
      </c>
      <c r="J62" s="108">
        <v>4.9210000000000003</v>
      </c>
      <c r="K62" s="45">
        <v>1</v>
      </c>
      <c r="L62" s="46">
        <v>2265577.63</v>
      </c>
      <c r="M62" s="45" t="s">
        <v>83</v>
      </c>
      <c r="N62" s="45"/>
      <c r="O62" s="46">
        <f t="shared" si="3"/>
        <v>1965577.63</v>
      </c>
      <c r="P62" s="54" t="s">
        <v>38</v>
      </c>
      <c r="Q62" s="45"/>
      <c r="R62" s="48" t="s">
        <v>37</v>
      </c>
      <c r="S62" s="48" t="s">
        <v>37</v>
      </c>
      <c r="T62" s="48" t="s">
        <v>37</v>
      </c>
    </row>
    <row r="63" spans="1:20" ht="18" customHeight="1" thickTop="1" thickBot="1" x14ac:dyDescent="0.3">
      <c r="A63" s="257" t="s">
        <v>135</v>
      </c>
      <c r="B63" s="258"/>
      <c r="C63" s="258"/>
      <c r="D63" s="258"/>
      <c r="E63" s="258"/>
      <c r="F63" s="258"/>
      <c r="G63" s="140">
        <v>122.62</v>
      </c>
      <c r="H63"/>
      <c r="I63" s="259" t="s">
        <v>136</v>
      </c>
      <c r="J63" s="258"/>
      <c r="K63" s="258"/>
      <c r="L63" s="141">
        <f>COUNTIF(L53:L62,"כן")/COUNT(C53:C62)</f>
        <v>0</v>
      </c>
      <c r="M63" s="144">
        <v>0.77780000000000005</v>
      </c>
      <c r="N63"/>
      <c r="O63"/>
      <c r="P63"/>
      <c r="Q63"/>
      <c r="R63"/>
      <c r="S63"/>
      <c r="T63"/>
    </row>
    <row r="64" spans="1:20" ht="18" customHeight="1" thickTop="1" thickBot="1" x14ac:dyDescent="0.3">
      <c r="A64" s="49" t="s">
        <v>67</v>
      </c>
      <c r="B64" s="49">
        <v>102</v>
      </c>
      <c r="C64" s="50">
        <v>1</v>
      </c>
      <c r="D64" s="50" t="s">
        <v>118</v>
      </c>
      <c r="E64" s="50" t="s">
        <v>34</v>
      </c>
      <c r="F64" s="50">
        <v>5</v>
      </c>
      <c r="G64" s="95">
        <v>126.246</v>
      </c>
      <c r="H64" s="78">
        <v>113.63</v>
      </c>
      <c r="I64" s="84">
        <v>20.363</v>
      </c>
      <c r="J64" s="96">
        <v>5.2039999999999997</v>
      </c>
      <c r="K64" s="51">
        <v>1</v>
      </c>
      <c r="L64" s="52">
        <v>1905232.36</v>
      </c>
      <c r="M64" s="51" t="s">
        <v>83</v>
      </c>
      <c r="N64" s="51"/>
      <c r="O64" s="52">
        <f t="shared" si="3"/>
        <v>1605232.36</v>
      </c>
      <c r="P64" s="51" t="s">
        <v>36</v>
      </c>
      <c r="Q64" s="51"/>
      <c r="R64" s="53" t="s">
        <v>37</v>
      </c>
      <c r="S64" s="53" t="s">
        <v>37</v>
      </c>
      <c r="T64" s="53" t="s">
        <v>37</v>
      </c>
    </row>
    <row r="65" spans="1:20" ht="18" customHeight="1" thickTop="1" thickBot="1" x14ac:dyDescent="0.3">
      <c r="A65" s="154" t="s">
        <v>67</v>
      </c>
      <c r="B65" s="154">
        <v>102</v>
      </c>
      <c r="C65" s="160">
        <v>2</v>
      </c>
      <c r="D65" s="160" t="s">
        <v>119</v>
      </c>
      <c r="E65" s="155" t="s">
        <v>34</v>
      </c>
      <c r="F65" s="160">
        <v>3</v>
      </c>
      <c r="G65" s="156">
        <v>92.116</v>
      </c>
      <c r="H65" s="162">
        <v>90.63</v>
      </c>
      <c r="I65" s="165">
        <v>18.062999999999999</v>
      </c>
      <c r="J65" s="171">
        <v>5.2240000000000002</v>
      </c>
      <c r="K65" s="155">
        <v>1</v>
      </c>
      <c r="L65" s="158">
        <v>1442512.8</v>
      </c>
      <c r="M65" s="155" t="s">
        <v>35</v>
      </c>
      <c r="N65" s="155"/>
      <c r="O65" s="158">
        <f>L65*0.8</f>
        <v>1154010.24</v>
      </c>
      <c r="P65" s="155" t="s">
        <v>36</v>
      </c>
      <c r="Q65" s="155"/>
      <c r="R65" s="36"/>
      <c r="S65" s="36"/>
      <c r="T65" s="36"/>
    </row>
    <row r="66" spans="1:20" ht="18" customHeight="1" thickTop="1" thickBot="1" x14ac:dyDescent="0.3">
      <c r="A66" s="185" t="s">
        <v>67</v>
      </c>
      <c r="B66" s="185">
        <v>102</v>
      </c>
      <c r="C66" s="191">
        <v>3</v>
      </c>
      <c r="D66" s="191" t="s">
        <v>102</v>
      </c>
      <c r="E66" s="191">
        <v>1</v>
      </c>
      <c r="F66" s="191">
        <v>5</v>
      </c>
      <c r="G66" s="197">
        <v>126.754</v>
      </c>
      <c r="H66" s="188">
        <v>12.089</v>
      </c>
      <c r="I66" s="189">
        <f t="shared" ref="I66:I69" si="8">H66*0.3</f>
        <v>3.6267</v>
      </c>
      <c r="J66" s="211">
        <v>6.4450000000000003</v>
      </c>
      <c r="K66" s="191">
        <v>1</v>
      </c>
      <c r="L66" s="192">
        <v>1705116.99</v>
      </c>
      <c r="M66" s="191" t="s">
        <v>35</v>
      </c>
      <c r="N66" s="191"/>
      <c r="O66" s="192">
        <f t="shared" si="3"/>
        <v>1405116.99</v>
      </c>
      <c r="P66" s="191"/>
      <c r="Q66" s="191"/>
      <c r="R66" s="36"/>
      <c r="S66" s="36"/>
      <c r="T66" s="36"/>
    </row>
    <row r="67" spans="1:20" ht="18" customHeight="1" thickTop="1" thickBot="1" x14ac:dyDescent="0.3">
      <c r="A67" s="154" t="s">
        <v>67</v>
      </c>
      <c r="B67" s="161">
        <v>102</v>
      </c>
      <c r="C67" s="227">
        <v>4</v>
      </c>
      <c r="D67" s="155" t="s">
        <v>101</v>
      </c>
      <c r="E67" s="155">
        <v>1</v>
      </c>
      <c r="F67" s="155">
        <v>3</v>
      </c>
      <c r="G67" s="156">
        <v>92.114999999999995</v>
      </c>
      <c r="H67" s="162">
        <v>11.851000000000001</v>
      </c>
      <c r="I67" s="163">
        <f t="shared" si="8"/>
        <v>3.5553000000000003</v>
      </c>
      <c r="J67" s="171">
        <v>4.3730000000000002</v>
      </c>
      <c r="K67" s="155">
        <v>1</v>
      </c>
      <c r="L67" s="158">
        <v>1254539.3500000001</v>
      </c>
      <c r="M67" s="155" t="s">
        <v>35</v>
      </c>
      <c r="N67" s="155"/>
      <c r="O67" s="158">
        <f>L67*0.8</f>
        <v>1003631.4800000001</v>
      </c>
      <c r="P67" s="155"/>
      <c r="Q67" s="155"/>
      <c r="R67" s="36"/>
      <c r="S67" s="36"/>
      <c r="T67" s="36"/>
    </row>
    <row r="68" spans="1:20" ht="18" customHeight="1" thickTop="1" thickBot="1" x14ac:dyDescent="0.3">
      <c r="A68" s="185" t="s">
        <v>67</v>
      </c>
      <c r="B68" s="185">
        <v>102</v>
      </c>
      <c r="C68" s="186">
        <v>5</v>
      </c>
      <c r="D68" s="186" t="s">
        <v>102</v>
      </c>
      <c r="E68" s="186">
        <v>2</v>
      </c>
      <c r="F68" s="186">
        <v>5</v>
      </c>
      <c r="G68" s="197">
        <v>126.754</v>
      </c>
      <c r="H68" s="188">
        <v>12.05</v>
      </c>
      <c r="I68" s="189">
        <f t="shared" si="8"/>
        <v>3.6150000000000002</v>
      </c>
      <c r="J68" s="211">
        <v>6.4450000000000003</v>
      </c>
      <c r="K68" s="191">
        <v>1</v>
      </c>
      <c r="L68" s="192">
        <v>1704968.88</v>
      </c>
      <c r="M68" s="191" t="s">
        <v>35</v>
      </c>
      <c r="N68" s="191"/>
      <c r="O68" s="192">
        <f t="shared" si="3"/>
        <v>1404968.88</v>
      </c>
      <c r="P68" s="191"/>
      <c r="Q68" s="191"/>
      <c r="R68" s="36" t="s">
        <v>37</v>
      </c>
      <c r="S68" s="36" t="s">
        <v>37</v>
      </c>
      <c r="T68" s="36" t="s">
        <v>37</v>
      </c>
    </row>
    <row r="69" spans="1:20" ht="18" customHeight="1" thickTop="1" thickBot="1" x14ac:dyDescent="0.3">
      <c r="A69" s="154" t="s">
        <v>67</v>
      </c>
      <c r="B69" s="154">
        <v>102</v>
      </c>
      <c r="C69" s="230">
        <v>6</v>
      </c>
      <c r="D69" s="160" t="s">
        <v>101</v>
      </c>
      <c r="E69" s="160">
        <v>2</v>
      </c>
      <c r="F69" s="160">
        <v>3</v>
      </c>
      <c r="G69" s="156">
        <v>92.114999999999995</v>
      </c>
      <c r="H69" s="162">
        <v>11.851000000000001</v>
      </c>
      <c r="I69" s="163">
        <f t="shared" si="8"/>
        <v>3.5553000000000003</v>
      </c>
      <c r="J69" s="171">
        <v>4.3730000000000002</v>
      </c>
      <c r="K69" s="155">
        <v>1</v>
      </c>
      <c r="L69" s="158">
        <v>1254539.3500000001</v>
      </c>
      <c r="M69" s="155" t="s">
        <v>35</v>
      </c>
      <c r="N69" s="155"/>
      <c r="O69" s="158">
        <f>L69*0.8</f>
        <v>1003631.4800000001</v>
      </c>
      <c r="P69" s="155"/>
      <c r="Q69" s="155"/>
      <c r="R69" s="36" t="s">
        <v>37</v>
      </c>
      <c r="S69" s="36" t="s">
        <v>37</v>
      </c>
      <c r="T69" s="36" t="s">
        <v>37</v>
      </c>
    </row>
    <row r="70" spans="1:20" ht="18" customHeight="1" thickTop="1" thickBot="1" x14ac:dyDescent="0.3">
      <c r="A70" s="49" t="s">
        <v>67</v>
      </c>
      <c r="B70" s="49">
        <v>102</v>
      </c>
      <c r="C70" s="50">
        <v>7</v>
      </c>
      <c r="D70" s="50" t="s">
        <v>60</v>
      </c>
      <c r="E70" s="50">
        <v>3</v>
      </c>
      <c r="F70" s="50">
        <v>6</v>
      </c>
      <c r="G70" s="95">
        <v>178.97</v>
      </c>
      <c r="H70" s="78">
        <v>67.150000000000006</v>
      </c>
      <c r="I70" s="84">
        <v>15.715</v>
      </c>
      <c r="J70" s="96">
        <v>6.6660000000000004</v>
      </c>
      <c r="K70" s="51">
        <v>2</v>
      </c>
      <c r="L70" s="52">
        <f>(G70+I70+J70*0.4+K70*2)*$P$5 -(33.97*P5*0.15 )</f>
        <v>2484411.2883360004</v>
      </c>
      <c r="M70" s="51" t="s">
        <v>83</v>
      </c>
      <c r="N70" s="51"/>
      <c r="O70" s="52">
        <f t="shared" si="3"/>
        <v>2184411.2883360004</v>
      </c>
      <c r="P70" s="51" t="s">
        <v>38</v>
      </c>
      <c r="Q70" s="51"/>
      <c r="R70" s="53" t="s">
        <v>37</v>
      </c>
      <c r="S70" s="53" t="s">
        <v>37</v>
      </c>
      <c r="T70" s="53" t="s">
        <v>37</v>
      </c>
    </row>
    <row r="71" spans="1:20" ht="18" customHeight="1" thickTop="1" thickBot="1" x14ac:dyDescent="0.3">
      <c r="A71" s="257" t="s">
        <v>135</v>
      </c>
      <c r="B71" s="258"/>
      <c r="C71" s="258"/>
      <c r="D71" s="258"/>
      <c r="E71" s="258"/>
      <c r="F71" s="258"/>
      <c r="G71" s="140">
        <v>119.87</v>
      </c>
      <c r="H71" s="139"/>
      <c r="I71" s="259" t="s">
        <v>136</v>
      </c>
      <c r="J71" s="258"/>
      <c r="K71" s="258"/>
      <c r="L71" s="141">
        <f>COUNTIF(L61:L70,"כן")/COUNT(C61:C70)</f>
        <v>0</v>
      </c>
      <c r="M71" s="144">
        <v>0.71430000000000005</v>
      </c>
      <c r="N71" s="132"/>
      <c r="O71" s="132"/>
      <c r="P71" s="132"/>
      <c r="Q71" s="132"/>
      <c r="R71" s="132"/>
      <c r="S71" s="132"/>
      <c r="T71" s="132"/>
    </row>
    <row r="72" spans="1:20" ht="18" customHeight="1" thickTop="1" thickBot="1" x14ac:dyDescent="0.3">
      <c r="A72" s="47" t="s">
        <v>68</v>
      </c>
      <c r="B72" s="47">
        <v>103</v>
      </c>
      <c r="C72" s="44">
        <v>1</v>
      </c>
      <c r="D72" s="44" t="s">
        <v>61</v>
      </c>
      <c r="E72" s="45" t="s">
        <v>34</v>
      </c>
      <c r="F72" s="44">
        <v>5</v>
      </c>
      <c r="G72" s="91">
        <v>126.83199999999999</v>
      </c>
      <c r="H72" s="105">
        <v>295.60000000000002</v>
      </c>
      <c r="I72" s="101">
        <v>21</v>
      </c>
      <c r="J72" s="108">
        <v>4.9210000000000003</v>
      </c>
      <c r="K72" s="45">
        <v>1</v>
      </c>
      <c r="L72" s="46">
        <v>1918168.63</v>
      </c>
      <c r="M72" s="45" t="s">
        <v>83</v>
      </c>
      <c r="N72" s="45"/>
      <c r="O72" s="46">
        <f t="shared" si="3"/>
        <v>1618168.63</v>
      </c>
      <c r="P72" s="45" t="s">
        <v>36</v>
      </c>
      <c r="Q72" s="45"/>
      <c r="R72" s="48" t="s">
        <v>37</v>
      </c>
      <c r="S72" s="48" t="s">
        <v>37</v>
      </c>
      <c r="T72" s="48" t="s">
        <v>37</v>
      </c>
    </row>
    <row r="73" spans="1:20" ht="18" customHeight="1" thickTop="1" thickBot="1" x14ac:dyDescent="0.3">
      <c r="A73" s="185" t="s">
        <v>68</v>
      </c>
      <c r="B73" s="185">
        <v>103</v>
      </c>
      <c r="C73" s="186">
        <v>2</v>
      </c>
      <c r="D73" s="186" t="s">
        <v>59</v>
      </c>
      <c r="E73" s="191" t="s">
        <v>34</v>
      </c>
      <c r="F73" s="186">
        <v>3</v>
      </c>
      <c r="G73" s="197">
        <v>88.57</v>
      </c>
      <c r="H73" s="188">
        <v>56.3</v>
      </c>
      <c r="I73" s="209">
        <v>14.26</v>
      </c>
      <c r="J73" s="211">
        <v>5.85</v>
      </c>
      <c r="K73" s="191">
        <v>1</v>
      </c>
      <c r="L73" s="192">
        <f>(G73+I73+J73*0.4+K73*2)*$P$5</f>
        <v>1356669.3168000001</v>
      </c>
      <c r="M73" s="191" t="s">
        <v>35</v>
      </c>
      <c r="N73" s="191"/>
      <c r="O73" s="192">
        <f>L73*0.8</f>
        <v>1085335.4534400001</v>
      </c>
      <c r="P73" s="191" t="s">
        <v>36</v>
      </c>
      <c r="Q73" s="191"/>
      <c r="R73" s="35" t="s">
        <v>37</v>
      </c>
      <c r="S73" s="35" t="s">
        <v>37</v>
      </c>
      <c r="T73" s="35" t="s">
        <v>37</v>
      </c>
    </row>
    <row r="74" spans="1:20" ht="18" customHeight="1" thickTop="1" thickBot="1" x14ac:dyDescent="0.3">
      <c r="A74" s="154" t="s">
        <v>68</v>
      </c>
      <c r="B74" s="154">
        <v>103</v>
      </c>
      <c r="C74" s="230">
        <v>3</v>
      </c>
      <c r="D74" s="160" t="s">
        <v>105</v>
      </c>
      <c r="E74" s="160">
        <v>1</v>
      </c>
      <c r="F74" s="160">
        <v>5</v>
      </c>
      <c r="G74" s="156">
        <v>126.83199999999999</v>
      </c>
      <c r="H74" s="162">
        <v>11.395</v>
      </c>
      <c r="I74" s="165">
        <f t="shared" ref="I74:I76" si="9">H74*0.3</f>
        <v>3.4184999999999999</v>
      </c>
      <c r="J74" s="171">
        <v>4.9210000000000003</v>
      </c>
      <c r="K74" s="155">
        <v>1</v>
      </c>
      <c r="L74" s="158">
        <v>1695603.72</v>
      </c>
      <c r="M74" s="155" t="s">
        <v>35</v>
      </c>
      <c r="N74" s="155"/>
      <c r="O74" s="158">
        <f t="shared" si="3"/>
        <v>1395603.72</v>
      </c>
      <c r="P74" s="155"/>
      <c r="Q74" s="155"/>
      <c r="R74" s="35" t="s">
        <v>37</v>
      </c>
      <c r="S74" s="35" t="s">
        <v>37</v>
      </c>
      <c r="T74" s="35" t="s">
        <v>37</v>
      </c>
    </row>
    <row r="75" spans="1:20" ht="18" customHeight="1" thickTop="1" thickBot="1" x14ac:dyDescent="0.3">
      <c r="A75" s="185" t="s">
        <v>68</v>
      </c>
      <c r="B75" s="185">
        <v>103</v>
      </c>
      <c r="C75" s="186">
        <v>4</v>
      </c>
      <c r="D75" s="186" t="s">
        <v>119</v>
      </c>
      <c r="E75" s="186">
        <v>1</v>
      </c>
      <c r="F75" s="186">
        <v>3</v>
      </c>
      <c r="G75" s="197">
        <v>88.456999999999994</v>
      </c>
      <c r="H75" s="188">
        <v>11.746</v>
      </c>
      <c r="I75" s="209">
        <f t="shared" si="9"/>
        <v>3.5238</v>
      </c>
      <c r="J75" s="211">
        <v>5.8550000000000004</v>
      </c>
      <c r="K75" s="191">
        <v>1</v>
      </c>
      <c r="L75" s="192">
        <f>(G75+I75+J75*0.4+K75*2)*$P$5</f>
        <v>1219354.178112</v>
      </c>
      <c r="M75" s="191" t="s">
        <v>35</v>
      </c>
      <c r="N75" s="191"/>
      <c r="O75" s="192">
        <f>L75*0.8</f>
        <v>975483.34248960007</v>
      </c>
      <c r="P75" s="191"/>
      <c r="Q75" s="191"/>
      <c r="R75" s="35" t="s">
        <v>37</v>
      </c>
      <c r="S75" s="35" t="s">
        <v>37</v>
      </c>
      <c r="T75" s="35" t="s">
        <v>37</v>
      </c>
    </row>
    <row r="76" spans="1:20" ht="18" customHeight="1" thickTop="1" thickBot="1" x14ac:dyDescent="0.3">
      <c r="A76" s="185" t="s">
        <v>68</v>
      </c>
      <c r="B76" s="185">
        <v>103</v>
      </c>
      <c r="C76" s="186">
        <v>5</v>
      </c>
      <c r="D76" s="186" t="s">
        <v>115</v>
      </c>
      <c r="E76" s="186">
        <v>2</v>
      </c>
      <c r="F76" s="186">
        <v>5</v>
      </c>
      <c r="G76" s="197">
        <v>126.83199999999999</v>
      </c>
      <c r="H76" s="188">
        <v>22.704000000000001</v>
      </c>
      <c r="I76" s="209">
        <f t="shared" si="9"/>
        <v>6.8112000000000004</v>
      </c>
      <c r="J76" s="211">
        <v>4.9210000000000003</v>
      </c>
      <c r="K76" s="191">
        <v>1</v>
      </c>
      <c r="L76" s="192">
        <v>1738552.04</v>
      </c>
      <c r="M76" s="191" t="s">
        <v>35</v>
      </c>
      <c r="N76" s="191"/>
      <c r="O76" s="192">
        <f t="shared" si="3"/>
        <v>1438552.04</v>
      </c>
      <c r="P76" s="191"/>
      <c r="Q76" s="191"/>
      <c r="R76" s="35" t="s">
        <v>37</v>
      </c>
      <c r="S76" s="35" t="s">
        <v>37</v>
      </c>
      <c r="T76" s="35" t="s">
        <v>37</v>
      </c>
    </row>
    <row r="77" spans="1:20" ht="18" customHeight="1" thickTop="1" thickBot="1" x14ac:dyDescent="0.3">
      <c r="A77" s="185" t="s">
        <v>68</v>
      </c>
      <c r="B77" s="185">
        <v>103</v>
      </c>
      <c r="C77" s="191">
        <v>6</v>
      </c>
      <c r="D77" s="191" t="s">
        <v>128</v>
      </c>
      <c r="E77" s="191">
        <v>2</v>
      </c>
      <c r="F77" s="191">
        <v>3</v>
      </c>
      <c r="G77" s="197">
        <v>88.456999999999994</v>
      </c>
      <c r="H77" s="188">
        <v>14.332000000000001</v>
      </c>
      <c r="I77" s="209">
        <f t="shared" ref="I77" si="10">H77*0.3</f>
        <v>4.2995999999999999</v>
      </c>
      <c r="J77" s="211">
        <v>5.8550000000000004</v>
      </c>
      <c r="K77" s="191">
        <v>1</v>
      </c>
      <c r="L77" s="192">
        <f>(G77+I77+J77*0.4+K77*2)*$P$5</f>
        <v>1229175.061344</v>
      </c>
      <c r="M77" s="191" t="s">
        <v>35</v>
      </c>
      <c r="N77" s="191"/>
      <c r="O77" s="192">
        <f>L77*0.8</f>
        <v>983340.04907520011</v>
      </c>
      <c r="P77" s="191"/>
      <c r="Q77" s="191"/>
      <c r="R77" s="35"/>
      <c r="S77" s="35"/>
      <c r="T77" s="35"/>
    </row>
    <row r="78" spans="1:20" ht="18" customHeight="1" thickTop="1" thickBot="1" x14ac:dyDescent="0.3">
      <c r="A78" s="47" t="s">
        <v>68</v>
      </c>
      <c r="B78" s="47">
        <v>103</v>
      </c>
      <c r="C78" s="45">
        <v>7</v>
      </c>
      <c r="D78" s="45" t="s">
        <v>78</v>
      </c>
      <c r="E78" s="45">
        <v>3</v>
      </c>
      <c r="F78" s="45">
        <v>6</v>
      </c>
      <c r="G78" s="99">
        <v>160.035</v>
      </c>
      <c r="H78" s="100">
        <v>94.941000000000003</v>
      </c>
      <c r="I78" s="101">
        <v>18.494</v>
      </c>
      <c r="J78" s="111">
        <v>4.923</v>
      </c>
      <c r="K78" s="45">
        <v>1</v>
      </c>
      <c r="L78" s="46">
        <v>2281703.98</v>
      </c>
      <c r="M78" s="45" t="s">
        <v>83</v>
      </c>
      <c r="N78" s="45"/>
      <c r="O78" s="46">
        <f t="shared" si="3"/>
        <v>1981703.98</v>
      </c>
      <c r="P78" s="45" t="s">
        <v>38</v>
      </c>
      <c r="Q78" s="45"/>
      <c r="R78" s="48"/>
      <c r="S78" s="48"/>
      <c r="T78" s="48"/>
    </row>
    <row r="79" spans="1:20" ht="18" customHeight="1" thickTop="1" thickBot="1" x14ac:dyDescent="0.3">
      <c r="A79" s="260" t="s">
        <v>135</v>
      </c>
      <c r="B79" s="258"/>
      <c r="C79" s="258"/>
      <c r="D79" s="258"/>
      <c r="E79" s="258"/>
      <c r="F79" s="258"/>
      <c r="G79" s="145">
        <v>115.15</v>
      </c>
      <c r="H79" s="139"/>
      <c r="I79" s="261" t="s">
        <v>136</v>
      </c>
      <c r="J79" s="258"/>
      <c r="K79" s="258"/>
      <c r="L79" s="146">
        <f>COUNTIF(L69:L78,"כן")/COUNT(C69:C78)</f>
        <v>0</v>
      </c>
      <c r="M79" s="147">
        <v>0.71430000000000005</v>
      </c>
      <c r="N79" s="132"/>
      <c r="O79" s="132"/>
      <c r="P79" s="132"/>
      <c r="Q79" s="132"/>
      <c r="R79" s="132"/>
      <c r="S79" s="132"/>
      <c r="T79" s="132"/>
    </row>
    <row r="80" spans="1:20" ht="18" customHeight="1" thickTop="1" thickBot="1" x14ac:dyDescent="0.3">
      <c r="A80" s="49" t="s">
        <v>69</v>
      </c>
      <c r="B80" s="49">
        <v>103</v>
      </c>
      <c r="C80" s="50">
        <v>1</v>
      </c>
      <c r="D80" s="50" t="s">
        <v>79</v>
      </c>
      <c r="E80" s="50" t="s">
        <v>34</v>
      </c>
      <c r="F80" s="50">
        <v>6</v>
      </c>
      <c r="G80" s="95">
        <v>145.92400000000001</v>
      </c>
      <c r="H80" s="78">
        <v>118</v>
      </c>
      <c r="I80" s="84">
        <v>20.8</v>
      </c>
      <c r="J80" s="96">
        <v>4.9210000000000003</v>
      </c>
      <c r="K80" s="51">
        <v>1</v>
      </c>
      <c r="L80" s="52">
        <v>2159047.38</v>
      </c>
      <c r="M80" s="51" t="s">
        <v>83</v>
      </c>
      <c r="N80" s="51"/>
      <c r="O80" s="52">
        <f t="shared" si="3"/>
        <v>1859047.38</v>
      </c>
      <c r="P80" s="51" t="s">
        <v>36</v>
      </c>
      <c r="Q80" s="51"/>
      <c r="R80" s="53" t="s">
        <v>37</v>
      </c>
      <c r="S80" s="53" t="s">
        <v>37</v>
      </c>
      <c r="T80" s="53" t="s">
        <v>37</v>
      </c>
    </row>
    <row r="81" spans="1:20" ht="18" customHeight="1" thickTop="1" thickBot="1" x14ac:dyDescent="0.3">
      <c r="A81" s="185" t="s">
        <v>69</v>
      </c>
      <c r="B81" s="185">
        <v>103</v>
      </c>
      <c r="C81" s="186">
        <v>2</v>
      </c>
      <c r="D81" s="186" t="s">
        <v>101</v>
      </c>
      <c r="E81" s="186" t="s">
        <v>34</v>
      </c>
      <c r="F81" s="186">
        <v>3</v>
      </c>
      <c r="G81" s="197">
        <v>88.709000000000003</v>
      </c>
      <c r="H81" s="188">
        <v>36</v>
      </c>
      <c r="I81" s="209">
        <v>10.199999999999999</v>
      </c>
      <c r="J81" s="211">
        <v>5.85</v>
      </c>
      <c r="K81" s="191">
        <v>1</v>
      </c>
      <c r="L81" s="192">
        <f>(G81+I81+J81*0.4+K81*2)*$P$5</f>
        <v>1307033.2209600003</v>
      </c>
      <c r="M81" s="191" t="s">
        <v>35</v>
      </c>
      <c r="N81" s="191"/>
      <c r="O81" s="192">
        <f>L81*0.8</f>
        <v>1045626.5767680003</v>
      </c>
      <c r="P81" s="191" t="s">
        <v>36</v>
      </c>
      <c r="Q81" s="191"/>
      <c r="R81" s="36" t="s">
        <v>37</v>
      </c>
      <c r="S81" s="36" t="s">
        <v>37</v>
      </c>
      <c r="T81" s="36" t="s">
        <v>37</v>
      </c>
    </row>
    <row r="82" spans="1:20" ht="18" customHeight="1" thickTop="1" thickBot="1" x14ac:dyDescent="0.3">
      <c r="A82" s="87" t="s">
        <v>69</v>
      </c>
      <c r="B82" s="87">
        <v>103</v>
      </c>
      <c r="C82" s="236">
        <v>3</v>
      </c>
      <c r="D82" s="237" t="s">
        <v>126</v>
      </c>
      <c r="E82" s="237">
        <v>1</v>
      </c>
      <c r="F82" s="237">
        <v>5</v>
      </c>
      <c r="G82" s="89">
        <v>126.83199999999999</v>
      </c>
      <c r="H82" s="103">
        <v>17.507000000000001</v>
      </c>
      <c r="I82" s="109">
        <f t="shared" ref="I82:I85" si="11">H82*0.3</f>
        <v>5.2521000000000004</v>
      </c>
      <c r="J82" s="110">
        <v>4.9210000000000003</v>
      </c>
      <c r="K82" s="90">
        <v>1</v>
      </c>
      <c r="L82" s="178">
        <v>1718815.34</v>
      </c>
      <c r="M82" s="90" t="s">
        <v>35</v>
      </c>
      <c r="N82" s="90"/>
      <c r="O82" s="178">
        <f t="shared" si="3"/>
        <v>1418815.34</v>
      </c>
      <c r="P82" s="90"/>
      <c r="Q82" s="90"/>
      <c r="R82" s="36" t="s">
        <v>37</v>
      </c>
      <c r="S82" s="36" t="s">
        <v>37</v>
      </c>
      <c r="T82" s="36" t="s">
        <v>37</v>
      </c>
    </row>
    <row r="83" spans="1:20" ht="18" customHeight="1" thickTop="1" thickBot="1" x14ac:dyDescent="0.3">
      <c r="A83" s="185" t="s">
        <v>69</v>
      </c>
      <c r="B83" s="185">
        <v>103</v>
      </c>
      <c r="C83" s="186">
        <v>4</v>
      </c>
      <c r="D83" s="186" t="s">
        <v>127</v>
      </c>
      <c r="E83" s="186">
        <v>1</v>
      </c>
      <c r="F83" s="186">
        <v>3</v>
      </c>
      <c r="G83" s="197">
        <v>86.414000000000001</v>
      </c>
      <c r="H83" s="188">
        <v>11.762</v>
      </c>
      <c r="I83" s="189">
        <f t="shared" si="11"/>
        <v>3.5286</v>
      </c>
      <c r="J83" s="211">
        <v>5.85</v>
      </c>
      <c r="K83" s="191">
        <v>1</v>
      </c>
      <c r="L83" s="192">
        <f>(G83+I83+J83*0.4+K83*2)*$P$5</f>
        <v>1193527.2047040001</v>
      </c>
      <c r="M83" s="191" t="s">
        <v>35</v>
      </c>
      <c r="N83" s="191"/>
      <c r="O83" s="192">
        <f>L83*0.8</f>
        <v>954821.76376320014</v>
      </c>
      <c r="P83" s="191"/>
      <c r="Q83" s="191"/>
      <c r="R83" s="36" t="s">
        <v>37</v>
      </c>
      <c r="S83" s="36" t="s">
        <v>37</v>
      </c>
      <c r="T83" s="36" t="s">
        <v>37</v>
      </c>
    </row>
    <row r="84" spans="1:20" ht="18" customHeight="1" thickTop="1" thickBot="1" x14ac:dyDescent="0.3">
      <c r="A84" s="185" t="s">
        <v>69</v>
      </c>
      <c r="B84" s="185">
        <v>103</v>
      </c>
      <c r="C84" s="186">
        <v>5</v>
      </c>
      <c r="D84" s="186" t="s">
        <v>115</v>
      </c>
      <c r="E84" s="186">
        <v>2</v>
      </c>
      <c r="F84" s="186">
        <v>5</v>
      </c>
      <c r="G84" s="197">
        <v>126.83199999999999</v>
      </c>
      <c r="H84" s="188">
        <v>23.018999999999998</v>
      </c>
      <c r="I84" s="189">
        <f t="shared" si="11"/>
        <v>6.9056999999999995</v>
      </c>
      <c r="J84" s="211">
        <v>4.9210000000000003</v>
      </c>
      <c r="K84" s="191">
        <v>1</v>
      </c>
      <c r="L84" s="192">
        <v>1739748.32</v>
      </c>
      <c r="M84" s="191" t="s">
        <v>35</v>
      </c>
      <c r="N84" s="191"/>
      <c r="O84" s="192">
        <f t="shared" si="3"/>
        <v>1439748.32</v>
      </c>
      <c r="P84" s="191"/>
      <c r="Q84" s="191"/>
      <c r="R84" s="36" t="s">
        <v>37</v>
      </c>
      <c r="S84" s="36" t="s">
        <v>37</v>
      </c>
      <c r="T84" s="36" t="s">
        <v>37</v>
      </c>
    </row>
    <row r="85" spans="1:20" ht="18" customHeight="1" thickTop="1" thickBot="1" x14ac:dyDescent="0.3">
      <c r="A85" s="154" t="s">
        <v>69</v>
      </c>
      <c r="B85" s="154">
        <v>103</v>
      </c>
      <c r="C85" s="155">
        <v>6</v>
      </c>
      <c r="D85" s="160" t="s">
        <v>129</v>
      </c>
      <c r="E85" s="160">
        <v>2</v>
      </c>
      <c r="F85" s="160">
        <v>3</v>
      </c>
      <c r="G85" s="156">
        <v>86.414000000000001</v>
      </c>
      <c r="H85" s="162">
        <v>12.087</v>
      </c>
      <c r="I85" s="163">
        <f t="shared" si="11"/>
        <v>3.6260999999999997</v>
      </c>
      <c r="J85" s="171">
        <v>5.85</v>
      </c>
      <c r="K85" s="155">
        <v>1</v>
      </c>
      <c r="L85" s="158">
        <f>(G85+I85+J85*0.4+K85*2)*$P$5</f>
        <v>1194761.461104</v>
      </c>
      <c r="M85" s="155" t="s">
        <v>35</v>
      </c>
      <c r="N85" s="155"/>
      <c r="O85" s="158">
        <f>L85*0.8</f>
        <v>955809.16888320004</v>
      </c>
      <c r="P85" s="155"/>
      <c r="Q85" s="155"/>
      <c r="R85" s="36" t="s">
        <v>37</v>
      </c>
      <c r="S85" s="36" t="s">
        <v>37</v>
      </c>
      <c r="T85" s="36" t="s">
        <v>37</v>
      </c>
    </row>
    <row r="86" spans="1:20" ht="18" customHeight="1" thickTop="1" thickBot="1" x14ac:dyDescent="0.3">
      <c r="A86" s="49" t="s">
        <v>69</v>
      </c>
      <c r="B86" s="49">
        <v>103</v>
      </c>
      <c r="C86" s="51">
        <v>7</v>
      </c>
      <c r="D86" s="50" t="s">
        <v>78</v>
      </c>
      <c r="E86" s="50">
        <v>3</v>
      </c>
      <c r="F86" s="50">
        <v>6</v>
      </c>
      <c r="G86" s="95">
        <v>160.035</v>
      </c>
      <c r="H86" s="78">
        <v>92.265000000000001</v>
      </c>
      <c r="I86" s="84">
        <v>18.227</v>
      </c>
      <c r="J86" s="96">
        <v>4.923</v>
      </c>
      <c r="K86" s="51">
        <v>1</v>
      </c>
      <c r="L86" s="52">
        <v>2278316.42</v>
      </c>
      <c r="M86" s="51" t="s">
        <v>83</v>
      </c>
      <c r="N86" s="51"/>
      <c r="O86" s="52">
        <f t="shared" si="3"/>
        <v>1978316.42</v>
      </c>
      <c r="P86" s="51" t="s">
        <v>38</v>
      </c>
      <c r="Q86" s="51"/>
      <c r="R86" s="53" t="s">
        <v>37</v>
      </c>
      <c r="S86" s="53" t="s">
        <v>37</v>
      </c>
      <c r="T86" s="53" t="s">
        <v>37</v>
      </c>
    </row>
    <row r="87" spans="1:20" ht="18" customHeight="1" thickTop="1" thickBot="1" x14ac:dyDescent="0.3">
      <c r="A87" s="260" t="s">
        <v>135</v>
      </c>
      <c r="B87" s="258"/>
      <c r="C87" s="258"/>
      <c r="D87" s="258"/>
      <c r="E87" s="258"/>
      <c r="F87" s="258"/>
      <c r="G87" s="145">
        <v>117.88</v>
      </c>
      <c r="H87" s="139"/>
      <c r="I87" s="261" t="s">
        <v>136</v>
      </c>
      <c r="J87" s="258"/>
      <c r="K87" s="258"/>
      <c r="L87" s="146">
        <f>COUNTIF(L77:L86,"כן")/COUNT(C77:C86)</f>
        <v>0</v>
      </c>
      <c r="M87" s="147">
        <v>0.71430000000000005</v>
      </c>
      <c r="N87" s="132"/>
      <c r="O87" s="132"/>
      <c r="P87" s="132"/>
      <c r="Q87" s="132"/>
      <c r="R87" s="132"/>
      <c r="S87" s="132"/>
      <c r="T87" s="132"/>
    </row>
    <row r="88" spans="1:20" ht="18" customHeight="1" thickTop="1" thickBot="1" x14ac:dyDescent="0.3">
      <c r="A88" s="185" t="s">
        <v>70</v>
      </c>
      <c r="B88" s="185">
        <v>103</v>
      </c>
      <c r="C88" s="186">
        <v>1</v>
      </c>
      <c r="D88" s="186" t="s">
        <v>80</v>
      </c>
      <c r="E88" s="191" t="s">
        <v>34</v>
      </c>
      <c r="F88" s="186">
        <v>3</v>
      </c>
      <c r="G88" s="197">
        <v>88.34</v>
      </c>
      <c r="H88" s="210">
        <v>71.2</v>
      </c>
      <c r="I88" s="209">
        <v>16.12</v>
      </c>
      <c r="J88" s="190">
        <v>5.4329999999999998</v>
      </c>
      <c r="K88" s="191">
        <v>2</v>
      </c>
      <c r="L88" s="192">
        <f t="shared" ref="L88:L93" si="12">(G88+I88+J88*0.4+K88*2)*$P$5</f>
        <v>1400510.1041280001</v>
      </c>
      <c r="M88" s="191" t="s">
        <v>35</v>
      </c>
      <c r="N88" s="191"/>
      <c r="O88" s="192">
        <f>L88*0.8</f>
        <v>1120408.0833024001</v>
      </c>
      <c r="P88" s="191" t="s">
        <v>36</v>
      </c>
      <c r="Q88" s="191"/>
      <c r="R88" s="35" t="s">
        <v>37</v>
      </c>
      <c r="S88" s="35" t="s">
        <v>37</v>
      </c>
      <c r="T88" s="35" t="s">
        <v>37</v>
      </c>
    </row>
    <row r="89" spans="1:20" ht="18" customHeight="1" thickTop="1" thickBot="1" x14ac:dyDescent="0.3">
      <c r="A89" s="185" t="s">
        <v>70</v>
      </c>
      <c r="B89" s="185">
        <v>103</v>
      </c>
      <c r="C89" s="186">
        <v>2</v>
      </c>
      <c r="D89" s="191" t="s">
        <v>62</v>
      </c>
      <c r="E89" s="191" t="s">
        <v>34</v>
      </c>
      <c r="F89" s="191">
        <v>4</v>
      </c>
      <c r="G89" s="197">
        <v>107.663</v>
      </c>
      <c r="H89" s="210">
        <v>38.86</v>
      </c>
      <c r="I89" s="189">
        <v>10.772</v>
      </c>
      <c r="J89" s="190">
        <v>4.3970000000000002</v>
      </c>
      <c r="K89" s="191">
        <v>1</v>
      </c>
      <c r="L89" s="192">
        <f t="shared" si="12"/>
        <v>1546856.2019520001</v>
      </c>
      <c r="M89" s="191" t="s">
        <v>35</v>
      </c>
      <c r="N89" s="191"/>
      <c r="O89" s="192">
        <f>L89-300000</f>
        <v>1246856.2019520001</v>
      </c>
      <c r="P89" s="191" t="s">
        <v>36</v>
      </c>
      <c r="Q89" s="191"/>
      <c r="R89" s="35"/>
      <c r="S89" s="35"/>
      <c r="T89" s="35"/>
    </row>
    <row r="90" spans="1:20" ht="18" customHeight="1" thickTop="1" thickBot="1" x14ac:dyDescent="0.3">
      <c r="A90" s="185" t="s">
        <v>70</v>
      </c>
      <c r="B90" s="185">
        <v>103</v>
      </c>
      <c r="C90" s="186">
        <v>3</v>
      </c>
      <c r="D90" s="186" t="s">
        <v>111</v>
      </c>
      <c r="E90" s="186">
        <v>1</v>
      </c>
      <c r="F90" s="186">
        <v>5</v>
      </c>
      <c r="G90" s="197">
        <v>124.879</v>
      </c>
      <c r="H90" s="210">
        <v>11.743</v>
      </c>
      <c r="I90" s="209">
        <f t="shared" ref="I90:I93" si="13">H90*0.3</f>
        <v>3.5228999999999999</v>
      </c>
      <c r="J90" s="190">
        <v>4.9219999999999997</v>
      </c>
      <c r="K90" s="191">
        <v>1</v>
      </c>
      <c r="L90" s="192">
        <v>1675915.75</v>
      </c>
      <c r="M90" s="191" t="s">
        <v>35</v>
      </c>
      <c r="N90" s="191"/>
      <c r="O90" s="192">
        <f t="shared" ref="O90:O142" si="14">L90-300000</f>
        <v>1375915.75</v>
      </c>
      <c r="P90" s="184"/>
      <c r="Q90" s="191"/>
      <c r="R90" s="35" t="s">
        <v>37</v>
      </c>
      <c r="S90" s="35" t="s">
        <v>37</v>
      </c>
      <c r="T90" s="35" t="s">
        <v>37</v>
      </c>
    </row>
    <row r="91" spans="1:20" ht="18" customHeight="1" thickTop="1" thickBot="1" x14ac:dyDescent="0.3">
      <c r="A91" s="185" t="s">
        <v>70</v>
      </c>
      <c r="B91" s="185">
        <v>103</v>
      </c>
      <c r="C91" s="186">
        <v>4</v>
      </c>
      <c r="D91" s="186" t="s">
        <v>81</v>
      </c>
      <c r="E91" s="186">
        <v>1</v>
      </c>
      <c r="F91" s="186">
        <v>4</v>
      </c>
      <c r="G91" s="197">
        <v>107.69199999999999</v>
      </c>
      <c r="H91" s="210">
        <v>11.564</v>
      </c>
      <c r="I91" s="209">
        <f t="shared" si="13"/>
        <v>3.4691999999999998</v>
      </c>
      <c r="J91" s="190">
        <v>4.3970000000000002</v>
      </c>
      <c r="K91" s="191">
        <v>1</v>
      </c>
      <c r="L91" s="192">
        <f t="shared" si="12"/>
        <v>1454776.8768</v>
      </c>
      <c r="M91" s="191" t="s">
        <v>35</v>
      </c>
      <c r="N91" s="191"/>
      <c r="O91" s="192">
        <f>L91*0.8</f>
        <v>1163821.50144</v>
      </c>
      <c r="P91" s="184"/>
      <c r="Q91" s="191"/>
      <c r="R91" s="35" t="s">
        <v>37</v>
      </c>
      <c r="S91" s="35" t="s">
        <v>37</v>
      </c>
      <c r="T91" s="35" t="s">
        <v>37</v>
      </c>
    </row>
    <row r="92" spans="1:20" ht="18" customHeight="1" thickTop="1" thickBot="1" x14ac:dyDescent="0.3">
      <c r="A92" s="185" t="s">
        <v>70</v>
      </c>
      <c r="B92" s="185">
        <v>103</v>
      </c>
      <c r="C92" s="191">
        <v>5</v>
      </c>
      <c r="D92" s="186" t="s">
        <v>116</v>
      </c>
      <c r="E92" s="186">
        <v>2</v>
      </c>
      <c r="F92" s="186">
        <v>5</v>
      </c>
      <c r="G92" s="197">
        <v>124.879</v>
      </c>
      <c r="H92" s="210">
        <v>14.862</v>
      </c>
      <c r="I92" s="209">
        <f t="shared" si="13"/>
        <v>4.4585999999999997</v>
      </c>
      <c r="J92" s="190">
        <v>4.9219999999999997</v>
      </c>
      <c r="K92" s="191">
        <v>1</v>
      </c>
      <c r="L92" s="192">
        <v>1687760.81</v>
      </c>
      <c r="M92" s="191" t="s">
        <v>35</v>
      </c>
      <c r="N92" s="191"/>
      <c r="O92" s="192">
        <f t="shared" si="14"/>
        <v>1387760.81</v>
      </c>
      <c r="P92" s="184"/>
      <c r="Q92" s="191"/>
      <c r="R92" s="35" t="s">
        <v>37</v>
      </c>
      <c r="S92" s="35" t="s">
        <v>37</v>
      </c>
      <c r="T92" s="35" t="s">
        <v>37</v>
      </c>
    </row>
    <row r="93" spans="1:20" ht="18" customHeight="1" thickTop="1" thickBot="1" x14ac:dyDescent="0.3">
      <c r="A93" s="185" t="s">
        <v>70</v>
      </c>
      <c r="B93" s="185">
        <v>103</v>
      </c>
      <c r="C93" s="191">
        <v>6</v>
      </c>
      <c r="D93" s="186" t="s">
        <v>130</v>
      </c>
      <c r="E93" s="186">
        <v>2</v>
      </c>
      <c r="F93" s="186">
        <v>4</v>
      </c>
      <c r="G93" s="197">
        <v>107.69199999999999</v>
      </c>
      <c r="H93" s="210">
        <v>14.483000000000001</v>
      </c>
      <c r="I93" s="209">
        <f t="shared" si="13"/>
        <v>4.3449</v>
      </c>
      <c r="J93" s="190">
        <v>4.3970000000000002</v>
      </c>
      <c r="K93" s="191">
        <v>1</v>
      </c>
      <c r="L93" s="192">
        <f t="shared" si="12"/>
        <v>1465862.3981279999</v>
      </c>
      <c r="M93" s="191" t="s">
        <v>35</v>
      </c>
      <c r="N93" s="191"/>
      <c r="O93" s="192">
        <f>L93*0.8</f>
        <v>1172689.9185023999</v>
      </c>
      <c r="P93" s="184"/>
      <c r="Q93" s="191"/>
      <c r="R93" s="35" t="s">
        <v>37</v>
      </c>
      <c r="S93" s="35" t="s">
        <v>37</v>
      </c>
      <c r="T93" s="35" t="s">
        <v>37</v>
      </c>
    </row>
    <row r="94" spans="1:20" ht="18" customHeight="1" thickTop="1" thickBot="1" x14ac:dyDescent="0.3">
      <c r="A94" s="47" t="s">
        <v>70</v>
      </c>
      <c r="B94" s="47">
        <v>103</v>
      </c>
      <c r="C94" s="45">
        <v>7</v>
      </c>
      <c r="D94" s="44" t="s">
        <v>60</v>
      </c>
      <c r="E94" s="44">
        <v>3</v>
      </c>
      <c r="F94" s="44">
        <v>6</v>
      </c>
      <c r="G94" s="91">
        <v>159.798</v>
      </c>
      <c r="H94" s="105">
        <v>115.907</v>
      </c>
      <c r="I94" s="101">
        <v>20.591000000000001</v>
      </c>
      <c r="J94" s="108">
        <v>4.91</v>
      </c>
      <c r="K94" s="45">
        <v>1</v>
      </c>
      <c r="L94" s="46">
        <f>(G94+I94+J94*0.4+K94*2)*$P$5 -(14.8*P5*0.15 )</f>
        <v>2305628.9323200001</v>
      </c>
      <c r="M94" s="45" t="s">
        <v>83</v>
      </c>
      <c r="N94" s="45"/>
      <c r="O94" s="46">
        <f t="shared" si="14"/>
        <v>2005628.9323200001</v>
      </c>
      <c r="P94" s="45" t="s">
        <v>38</v>
      </c>
      <c r="Q94" s="45"/>
      <c r="R94" s="48"/>
      <c r="S94" s="48"/>
      <c r="T94" s="48"/>
    </row>
    <row r="95" spans="1:20" ht="18" customHeight="1" thickTop="1" thickBot="1" x14ac:dyDescent="0.3">
      <c r="A95" s="257" t="s">
        <v>135</v>
      </c>
      <c r="B95" s="258"/>
      <c r="C95" s="258"/>
      <c r="D95" s="258"/>
      <c r="E95" s="258"/>
      <c r="F95" s="258"/>
      <c r="G95" s="140">
        <v>117.28</v>
      </c>
      <c r="H95" s="139"/>
      <c r="I95" s="259" t="s">
        <v>136</v>
      </c>
      <c r="J95" s="258"/>
      <c r="K95" s="258"/>
      <c r="L95" s="141">
        <f>COUNTIF(L85:L94,"כן")/COUNT(C85:C94)</f>
        <v>0</v>
      </c>
      <c r="M95" s="144">
        <v>0.85709999999999997</v>
      </c>
      <c r="N95" s="132"/>
      <c r="O95" s="132"/>
      <c r="P95" s="132"/>
      <c r="Q95" s="132"/>
      <c r="R95" s="132"/>
      <c r="S95" s="132"/>
      <c r="T95" s="132"/>
    </row>
    <row r="96" spans="1:20" ht="18" customHeight="1" thickTop="1" thickBot="1" x14ac:dyDescent="0.3">
      <c r="A96" s="185" t="s">
        <v>71</v>
      </c>
      <c r="B96" s="185">
        <v>103</v>
      </c>
      <c r="C96" s="186">
        <v>1</v>
      </c>
      <c r="D96" s="186" t="s">
        <v>106</v>
      </c>
      <c r="E96" s="186" t="s">
        <v>34</v>
      </c>
      <c r="F96" s="186">
        <v>4</v>
      </c>
      <c r="G96" s="197">
        <v>106.92100000000001</v>
      </c>
      <c r="H96" s="188">
        <v>38.86</v>
      </c>
      <c r="I96" s="209">
        <v>10.772</v>
      </c>
      <c r="J96" s="211">
        <v>4.3849999999999998</v>
      </c>
      <c r="K96" s="191">
        <v>1</v>
      </c>
      <c r="L96" s="192">
        <f>(G96+I96+J96*0.4+K96*2)*$P$5</f>
        <v>1537402.4308800003</v>
      </c>
      <c r="M96" s="191" t="s">
        <v>35</v>
      </c>
      <c r="N96" s="191"/>
      <c r="O96" s="192">
        <f>L96-300000</f>
        <v>1237402.4308800003</v>
      </c>
      <c r="P96" s="191" t="s">
        <v>36</v>
      </c>
      <c r="Q96" s="191"/>
      <c r="R96" s="36" t="s">
        <v>37</v>
      </c>
      <c r="S96" s="36" t="s">
        <v>37</v>
      </c>
      <c r="T96" s="36" t="s">
        <v>37</v>
      </c>
    </row>
    <row r="97" spans="1:20" ht="18" customHeight="1" thickTop="1" thickBot="1" x14ac:dyDescent="0.3">
      <c r="A97" s="185" t="s">
        <v>71</v>
      </c>
      <c r="B97" s="185">
        <v>103</v>
      </c>
      <c r="C97" s="186">
        <v>2</v>
      </c>
      <c r="D97" s="186" t="s">
        <v>120</v>
      </c>
      <c r="E97" s="186" t="s">
        <v>34</v>
      </c>
      <c r="F97" s="186">
        <v>6</v>
      </c>
      <c r="G97" s="197">
        <v>145.93600000000001</v>
      </c>
      <c r="H97" s="188">
        <v>54.88</v>
      </c>
      <c r="I97" s="189">
        <v>13.976000000000001</v>
      </c>
      <c r="J97" s="211">
        <v>4.9210000000000003</v>
      </c>
      <c r="K97" s="191">
        <v>1</v>
      </c>
      <c r="L97" s="192">
        <v>2072791.21</v>
      </c>
      <c r="M97" s="191" t="s">
        <v>35</v>
      </c>
      <c r="N97" s="191"/>
      <c r="O97" s="192">
        <f t="shared" si="14"/>
        <v>1772791.21</v>
      </c>
      <c r="P97" s="191" t="s">
        <v>36</v>
      </c>
      <c r="Q97" s="191"/>
      <c r="R97" s="36" t="s">
        <v>37</v>
      </c>
      <c r="S97" s="36" t="s">
        <v>37</v>
      </c>
      <c r="T97" s="36" t="s">
        <v>37</v>
      </c>
    </row>
    <row r="98" spans="1:20" ht="18" customHeight="1" thickTop="1" thickBot="1" x14ac:dyDescent="0.3">
      <c r="A98" s="185" t="s">
        <v>71</v>
      </c>
      <c r="B98" s="185">
        <v>103</v>
      </c>
      <c r="C98" s="186">
        <v>3</v>
      </c>
      <c r="D98" s="186" t="s">
        <v>81</v>
      </c>
      <c r="E98" s="186">
        <v>1</v>
      </c>
      <c r="F98" s="186">
        <v>4</v>
      </c>
      <c r="G98" s="197">
        <v>107.71899999999999</v>
      </c>
      <c r="H98" s="188">
        <v>11.757</v>
      </c>
      <c r="I98" s="189">
        <f t="shared" ref="I98:I100" si="15">H98*0.3</f>
        <v>3.5270999999999999</v>
      </c>
      <c r="J98" s="211">
        <v>4.3849999999999998</v>
      </c>
      <c r="K98" s="191">
        <v>1</v>
      </c>
      <c r="L98" s="192">
        <f>(G98+I98+J98*0.4+K98*2)*$P$5</f>
        <v>1455790.8659040001</v>
      </c>
      <c r="M98" s="191" t="s">
        <v>35</v>
      </c>
      <c r="N98" s="191"/>
      <c r="O98" s="192">
        <f>L98*0.8</f>
        <v>1164632.6927232002</v>
      </c>
      <c r="P98" s="191"/>
      <c r="Q98" s="191"/>
      <c r="R98" s="36" t="s">
        <v>37</v>
      </c>
      <c r="S98" s="36" t="s">
        <v>37</v>
      </c>
      <c r="T98" s="36" t="s">
        <v>37</v>
      </c>
    </row>
    <row r="99" spans="1:20" ht="18" customHeight="1" thickTop="1" thickBot="1" x14ac:dyDescent="0.3">
      <c r="A99" s="87" t="s">
        <v>71</v>
      </c>
      <c r="B99" s="87">
        <v>103</v>
      </c>
      <c r="C99" s="236">
        <v>4</v>
      </c>
      <c r="D99" s="90" t="s">
        <v>107</v>
      </c>
      <c r="E99" s="90">
        <v>1</v>
      </c>
      <c r="F99" s="90">
        <v>5</v>
      </c>
      <c r="G99" s="89">
        <v>126.93300000000001</v>
      </c>
      <c r="H99" s="103">
        <v>17.898</v>
      </c>
      <c r="I99" s="109">
        <f t="shared" si="15"/>
        <v>5.3693999999999997</v>
      </c>
      <c r="J99" s="110">
        <v>4.9219999999999997</v>
      </c>
      <c r="K99" s="90">
        <v>1</v>
      </c>
      <c r="L99" s="178">
        <v>1721392.08</v>
      </c>
      <c r="M99" s="90" t="s">
        <v>35</v>
      </c>
      <c r="N99" s="90"/>
      <c r="O99" s="178">
        <f t="shared" si="14"/>
        <v>1421392.08</v>
      </c>
      <c r="P99" s="90"/>
      <c r="Q99" s="90"/>
      <c r="R99" s="36"/>
      <c r="S99" s="36"/>
      <c r="T99" s="36"/>
    </row>
    <row r="100" spans="1:20" ht="18" customHeight="1" thickTop="1" thickBot="1" x14ac:dyDescent="0.3">
      <c r="A100" s="185" t="s">
        <v>71</v>
      </c>
      <c r="B100" s="185">
        <v>103</v>
      </c>
      <c r="C100" s="191">
        <v>5</v>
      </c>
      <c r="D100" s="186" t="s">
        <v>130</v>
      </c>
      <c r="E100" s="186">
        <v>2</v>
      </c>
      <c r="F100" s="186">
        <v>4</v>
      </c>
      <c r="G100" s="197">
        <v>107.71899999999999</v>
      </c>
      <c r="H100" s="188">
        <v>14.595000000000001</v>
      </c>
      <c r="I100" s="189">
        <f t="shared" si="15"/>
        <v>4.3784999999999998</v>
      </c>
      <c r="J100" s="211">
        <v>4.3849999999999998</v>
      </c>
      <c r="K100" s="191">
        <v>1</v>
      </c>
      <c r="L100" s="192">
        <f>(G100+I100+J100*0.4+K100*2)*$P$5</f>
        <v>1466568.7725600002</v>
      </c>
      <c r="M100" s="191" t="s">
        <v>35</v>
      </c>
      <c r="N100" s="191"/>
      <c r="O100" s="192">
        <f>L100*0.8</f>
        <v>1173255.0180480003</v>
      </c>
      <c r="P100" s="191"/>
      <c r="Q100" s="191"/>
      <c r="R100" s="36" t="s">
        <v>37</v>
      </c>
      <c r="S100" s="36" t="s">
        <v>37</v>
      </c>
      <c r="T100" s="36" t="s">
        <v>37</v>
      </c>
    </row>
    <row r="101" spans="1:20" ht="18" customHeight="1" thickTop="1" thickBot="1" x14ac:dyDescent="0.3">
      <c r="A101" s="185" t="s">
        <v>71</v>
      </c>
      <c r="B101" s="185">
        <v>103</v>
      </c>
      <c r="C101" s="186">
        <v>6</v>
      </c>
      <c r="D101" s="186" t="s">
        <v>115</v>
      </c>
      <c r="E101" s="186">
        <v>2</v>
      </c>
      <c r="F101" s="186">
        <v>5</v>
      </c>
      <c r="G101" s="197">
        <v>126.93300000000001</v>
      </c>
      <c r="H101" s="188">
        <v>22.988</v>
      </c>
      <c r="I101" s="189">
        <f t="shared" ref="I101" si="16">H101*0.3</f>
        <v>6.8963999999999999</v>
      </c>
      <c r="J101" s="211">
        <v>4.9219999999999997</v>
      </c>
      <c r="K101" s="191">
        <v>1</v>
      </c>
      <c r="L101" s="192">
        <v>1740722.44</v>
      </c>
      <c r="M101" s="191" t="s">
        <v>35</v>
      </c>
      <c r="N101" s="191"/>
      <c r="O101" s="192">
        <f t="shared" si="14"/>
        <v>1440722.44</v>
      </c>
      <c r="P101" s="184"/>
      <c r="Q101" s="191"/>
      <c r="R101" s="36" t="s">
        <v>37</v>
      </c>
      <c r="S101" s="36" t="s">
        <v>37</v>
      </c>
      <c r="T101" s="36" t="s">
        <v>37</v>
      </c>
    </row>
    <row r="102" spans="1:20" ht="18" customHeight="1" thickTop="1" thickBot="1" x14ac:dyDescent="0.3">
      <c r="A102" s="49" t="s">
        <v>71</v>
      </c>
      <c r="B102" s="49">
        <v>103</v>
      </c>
      <c r="C102" s="50">
        <v>7</v>
      </c>
      <c r="D102" s="50" t="s">
        <v>60</v>
      </c>
      <c r="E102" s="50">
        <v>3</v>
      </c>
      <c r="F102" s="50">
        <v>6</v>
      </c>
      <c r="G102" s="95">
        <v>159.798</v>
      </c>
      <c r="H102" s="78">
        <v>115.907</v>
      </c>
      <c r="I102" s="84">
        <v>20.591000000000001</v>
      </c>
      <c r="J102" s="96">
        <v>4.91</v>
      </c>
      <c r="K102" s="51">
        <v>1</v>
      </c>
      <c r="L102" s="52">
        <f>(G102+I102+J102*0.4+K102*2)*$P$5 -(14.8*P5*0.15 )</f>
        <v>2305628.9323200001</v>
      </c>
      <c r="M102" s="51" t="s">
        <v>83</v>
      </c>
      <c r="N102" s="51"/>
      <c r="O102" s="52">
        <f t="shared" si="14"/>
        <v>2005628.9323200001</v>
      </c>
      <c r="P102" s="51" t="s">
        <v>38</v>
      </c>
      <c r="Q102" s="51"/>
      <c r="R102" s="53"/>
      <c r="S102" s="53"/>
      <c r="T102" s="53"/>
    </row>
    <row r="103" spans="1:20" ht="18" customHeight="1" thickTop="1" thickBot="1" x14ac:dyDescent="0.3">
      <c r="A103" s="257" t="s">
        <v>135</v>
      </c>
      <c r="B103" s="258"/>
      <c r="C103" s="258"/>
      <c r="D103" s="258"/>
      <c r="E103" s="258"/>
      <c r="F103" s="258"/>
      <c r="G103" s="140">
        <v>125.14</v>
      </c>
      <c r="H103" s="139"/>
      <c r="I103" s="259" t="s">
        <v>136</v>
      </c>
      <c r="J103" s="258"/>
      <c r="K103" s="258"/>
      <c r="L103" s="141">
        <f>COUNTIF(L93:L102,"כן")/COUNT(C93:C102)</f>
        <v>0</v>
      </c>
      <c r="M103" s="144">
        <v>0.85709999999999997</v>
      </c>
      <c r="N103" s="29"/>
      <c r="O103" s="30"/>
      <c r="P103" s="29"/>
      <c r="Q103" s="29"/>
      <c r="R103" s="22"/>
      <c r="S103" s="22"/>
      <c r="T103" s="22"/>
    </row>
    <row r="104" spans="1:20" ht="18" customHeight="1" thickTop="1" thickBot="1" x14ac:dyDescent="0.3">
      <c r="A104" s="184" t="s">
        <v>72</v>
      </c>
      <c r="B104" s="185">
        <v>103</v>
      </c>
      <c r="C104" s="186">
        <v>1</v>
      </c>
      <c r="D104" s="186" t="s">
        <v>120</v>
      </c>
      <c r="E104" s="186" t="s">
        <v>34</v>
      </c>
      <c r="F104" s="186">
        <v>6</v>
      </c>
      <c r="G104" s="187">
        <v>145.93600000000001</v>
      </c>
      <c r="H104" s="188">
        <v>54.88</v>
      </c>
      <c r="I104" s="209">
        <v>13.976000000000001</v>
      </c>
      <c r="J104" s="190">
        <v>4.9210000000000003</v>
      </c>
      <c r="K104" s="191">
        <v>1</v>
      </c>
      <c r="L104" s="192">
        <v>2072791.21</v>
      </c>
      <c r="M104" s="191" t="s">
        <v>35</v>
      </c>
      <c r="N104" s="248"/>
      <c r="O104" s="192">
        <f t="shared" si="14"/>
        <v>1772791.21</v>
      </c>
      <c r="P104" s="191" t="s">
        <v>36</v>
      </c>
      <c r="Q104" s="191"/>
      <c r="R104" s="35"/>
      <c r="S104" s="35"/>
      <c r="T104" s="35"/>
    </row>
    <row r="105" spans="1:20" ht="18" customHeight="1" thickTop="1" thickBot="1" x14ac:dyDescent="0.3">
      <c r="A105" s="184" t="s">
        <v>72</v>
      </c>
      <c r="B105" s="185">
        <v>103</v>
      </c>
      <c r="C105" s="186">
        <v>2</v>
      </c>
      <c r="D105" s="186" t="s">
        <v>106</v>
      </c>
      <c r="E105" s="186" t="s">
        <v>34</v>
      </c>
      <c r="F105" s="186">
        <v>4</v>
      </c>
      <c r="G105" s="187">
        <v>106.92100000000001</v>
      </c>
      <c r="H105" s="188">
        <v>36.86</v>
      </c>
      <c r="I105" s="209">
        <v>10.372</v>
      </c>
      <c r="J105" s="190">
        <v>4.3849999999999998</v>
      </c>
      <c r="K105" s="191">
        <v>1</v>
      </c>
      <c r="L105" s="192">
        <f>(G105+I105+J105*0.4+K105*2)*$P$5</f>
        <v>1532338.8148800002</v>
      </c>
      <c r="M105" s="191" t="s">
        <v>35</v>
      </c>
      <c r="N105" s="191"/>
      <c r="O105" s="192">
        <f>L105-300000</f>
        <v>1232338.8148800002</v>
      </c>
      <c r="P105" s="191" t="s">
        <v>36</v>
      </c>
      <c r="Q105" s="191"/>
      <c r="R105" s="35" t="s">
        <v>37</v>
      </c>
      <c r="S105" s="35" t="s">
        <v>37</v>
      </c>
      <c r="T105" s="35" t="s">
        <v>37</v>
      </c>
    </row>
    <row r="106" spans="1:20" ht="18" customHeight="1" thickTop="1" thickBot="1" x14ac:dyDescent="0.3">
      <c r="A106" s="184" t="s">
        <v>72</v>
      </c>
      <c r="B106" s="185">
        <v>103</v>
      </c>
      <c r="C106" s="186">
        <v>3</v>
      </c>
      <c r="D106" s="186" t="s">
        <v>107</v>
      </c>
      <c r="E106" s="186">
        <v>1</v>
      </c>
      <c r="F106" s="186">
        <v>5</v>
      </c>
      <c r="G106" s="187">
        <v>126.93300000000001</v>
      </c>
      <c r="H106" s="188">
        <v>17.896999999999998</v>
      </c>
      <c r="I106" s="209">
        <f t="shared" ref="I106:I109" si="17">H106*0.3</f>
        <v>5.3690999999999995</v>
      </c>
      <c r="J106" s="190">
        <v>4.9219999999999997</v>
      </c>
      <c r="K106" s="191">
        <v>1</v>
      </c>
      <c r="L106" s="192">
        <v>1721388.29</v>
      </c>
      <c r="M106" s="191" t="s">
        <v>35</v>
      </c>
      <c r="N106" s="191"/>
      <c r="O106" s="192">
        <f t="shared" si="14"/>
        <v>1421388.29</v>
      </c>
      <c r="P106" s="191"/>
      <c r="Q106" s="191"/>
      <c r="R106" s="35" t="s">
        <v>37</v>
      </c>
      <c r="S106" s="35" t="s">
        <v>37</v>
      </c>
      <c r="T106" s="35" t="s">
        <v>37</v>
      </c>
    </row>
    <row r="107" spans="1:20" ht="18" customHeight="1" thickTop="1" thickBot="1" x14ac:dyDescent="0.3">
      <c r="A107" s="184" t="s">
        <v>72</v>
      </c>
      <c r="B107" s="185">
        <v>103</v>
      </c>
      <c r="C107" s="186">
        <v>4</v>
      </c>
      <c r="D107" s="186" t="s">
        <v>81</v>
      </c>
      <c r="E107" s="186">
        <v>1</v>
      </c>
      <c r="F107" s="186">
        <v>4</v>
      </c>
      <c r="G107" s="187">
        <v>107.71899999999999</v>
      </c>
      <c r="H107" s="188">
        <v>11.757</v>
      </c>
      <c r="I107" s="209">
        <f t="shared" si="17"/>
        <v>3.5270999999999999</v>
      </c>
      <c r="J107" s="190">
        <v>4.3849999999999998</v>
      </c>
      <c r="K107" s="191">
        <v>1</v>
      </c>
      <c r="L107" s="192">
        <f>(G107+I107+J107*0.4+K107*2)*$P$5</f>
        <v>1455790.8659040001</v>
      </c>
      <c r="M107" s="191" t="s">
        <v>35</v>
      </c>
      <c r="N107" s="191"/>
      <c r="O107" s="192">
        <f>L107*0.8</f>
        <v>1164632.6927232002</v>
      </c>
      <c r="P107" s="191"/>
      <c r="Q107" s="191"/>
      <c r="R107" s="35" t="s">
        <v>37</v>
      </c>
      <c r="S107" s="35" t="s">
        <v>37</v>
      </c>
      <c r="T107" s="35" t="s">
        <v>37</v>
      </c>
    </row>
    <row r="108" spans="1:20" ht="18" customHeight="1" thickTop="1" thickBot="1" x14ac:dyDescent="0.3">
      <c r="A108" s="184" t="s">
        <v>72</v>
      </c>
      <c r="B108" s="185">
        <v>103</v>
      </c>
      <c r="C108" s="186">
        <v>5</v>
      </c>
      <c r="D108" s="186" t="s">
        <v>115</v>
      </c>
      <c r="E108" s="186">
        <v>2</v>
      </c>
      <c r="F108" s="186">
        <v>5</v>
      </c>
      <c r="G108" s="187">
        <v>126.93300000000001</v>
      </c>
      <c r="H108" s="188">
        <v>22.97</v>
      </c>
      <c r="I108" s="209">
        <f t="shared" si="17"/>
        <v>6.8909999999999991</v>
      </c>
      <c r="J108" s="190">
        <v>4.9219999999999997</v>
      </c>
      <c r="K108" s="191">
        <v>1</v>
      </c>
      <c r="L108" s="192">
        <v>1740654.08</v>
      </c>
      <c r="M108" s="191" t="s">
        <v>35</v>
      </c>
      <c r="N108" s="191"/>
      <c r="O108" s="192">
        <f t="shared" si="14"/>
        <v>1440654.08</v>
      </c>
      <c r="P108" s="191"/>
      <c r="Q108" s="191"/>
      <c r="R108" s="35" t="s">
        <v>37</v>
      </c>
      <c r="S108" s="35" t="s">
        <v>37</v>
      </c>
      <c r="T108" s="35" t="s">
        <v>37</v>
      </c>
    </row>
    <row r="109" spans="1:20" ht="18" customHeight="1" thickTop="1" thickBot="1" x14ac:dyDescent="0.3">
      <c r="A109" s="184" t="s">
        <v>72</v>
      </c>
      <c r="B109" s="185">
        <v>103</v>
      </c>
      <c r="C109" s="186">
        <v>6</v>
      </c>
      <c r="D109" s="186" t="s">
        <v>130</v>
      </c>
      <c r="E109" s="186">
        <v>2</v>
      </c>
      <c r="F109" s="186">
        <v>4</v>
      </c>
      <c r="G109" s="187">
        <v>107.71899999999999</v>
      </c>
      <c r="H109" s="188">
        <v>14.542</v>
      </c>
      <c r="I109" s="209">
        <f t="shared" si="17"/>
        <v>4.3625999999999996</v>
      </c>
      <c r="J109" s="190">
        <v>4.3849999999999998</v>
      </c>
      <c r="K109" s="191">
        <v>1</v>
      </c>
      <c r="L109" s="192">
        <f>(G109+I109+J109*0.4+K109*2)*$P$5</f>
        <v>1466367.493824</v>
      </c>
      <c r="M109" s="191" t="s">
        <v>35</v>
      </c>
      <c r="N109" s="191"/>
      <c r="O109" s="192">
        <f>L109*0.8</f>
        <v>1173093.9950592001</v>
      </c>
      <c r="P109" s="191"/>
      <c r="Q109" s="191"/>
      <c r="R109" s="35" t="s">
        <v>37</v>
      </c>
      <c r="S109" s="35" t="s">
        <v>37</v>
      </c>
      <c r="T109" s="35" t="s">
        <v>37</v>
      </c>
    </row>
    <row r="110" spans="1:20" ht="18" customHeight="1" thickTop="1" thickBot="1" x14ac:dyDescent="0.3">
      <c r="A110" s="45" t="s">
        <v>72</v>
      </c>
      <c r="B110" s="47">
        <v>103</v>
      </c>
      <c r="C110" s="44">
        <v>7</v>
      </c>
      <c r="D110" s="44" t="s">
        <v>60</v>
      </c>
      <c r="E110" s="44">
        <v>3</v>
      </c>
      <c r="F110" s="44">
        <v>6</v>
      </c>
      <c r="G110" s="91">
        <v>159.798</v>
      </c>
      <c r="H110" s="105">
        <v>115.907</v>
      </c>
      <c r="I110" s="101">
        <v>20.591000000000001</v>
      </c>
      <c r="J110" s="108">
        <v>4.91</v>
      </c>
      <c r="K110" s="45">
        <v>1</v>
      </c>
      <c r="L110" s="46">
        <f>(G110+I110+J110*0.4+K110*2)*$P$5 -(14.8*P5*0.15 )</f>
        <v>2305628.9323200001</v>
      </c>
      <c r="M110" s="45" t="s">
        <v>83</v>
      </c>
      <c r="N110" s="45"/>
      <c r="O110" s="46">
        <f t="shared" si="14"/>
        <v>2005628.9323200001</v>
      </c>
      <c r="P110" s="45" t="s">
        <v>38</v>
      </c>
      <c r="Q110" s="45"/>
      <c r="R110" s="48" t="s">
        <v>37</v>
      </c>
      <c r="S110" s="48" t="s">
        <v>37</v>
      </c>
      <c r="T110" s="48" t="s">
        <v>37</v>
      </c>
    </row>
    <row r="111" spans="1:20" ht="18" customHeight="1" thickTop="1" thickBot="1" x14ac:dyDescent="0.3">
      <c r="A111" s="257" t="s">
        <v>135</v>
      </c>
      <c r="B111" s="258"/>
      <c r="C111" s="258"/>
      <c r="D111" s="258"/>
      <c r="E111" s="258"/>
      <c r="F111" s="258"/>
      <c r="G111" s="140">
        <v>125.14</v>
      </c>
      <c r="H111" s="139"/>
      <c r="I111" s="259" t="s">
        <v>136</v>
      </c>
      <c r="J111" s="258"/>
      <c r="K111" s="258"/>
      <c r="L111" s="141">
        <f>COUNTIF(L101:L110,"כן")/COUNT(C101:C110)</f>
        <v>0</v>
      </c>
      <c r="M111" s="144">
        <v>0.85709999999999997</v>
      </c>
      <c r="N111" s="131"/>
      <c r="O111" s="131"/>
      <c r="P111" s="131"/>
      <c r="Q111" s="131"/>
      <c r="R111" s="131"/>
      <c r="S111" s="131"/>
      <c r="T111" s="22"/>
    </row>
    <row r="112" spans="1:20" ht="18" customHeight="1" thickTop="1" thickBot="1" x14ac:dyDescent="0.3">
      <c r="A112" s="185" t="s">
        <v>73</v>
      </c>
      <c r="B112" s="185">
        <v>103</v>
      </c>
      <c r="C112" s="191">
        <v>1</v>
      </c>
      <c r="D112" s="186" t="s">
        <v>108</v>
      </c>
      <c r="E112" s="186" t="s">
        <v>34</v>
      </c>
      <c r="F112" s="186">
        <v>4</v>
      </c>
      <c r="G112" s="197">
        <v>107.745</v>
      </c>
      <c r="H112" s="210">
        <v>39.35</v>
      </c>
      <c r="I112" s="209">
        <v>10.87</v>
      </c>
      <c r="J112" s="211">
        <v>4.3970000000000002</v>
      </c>
      <c r="K112" s="191">
        <v>1</v>
      </c>
      <c r="L112" s="192">
        <f t="shared" ref="L112:L116" si="18">(G112+I112+J112*0.4+K112*2)*$P$5</f>
        <v>1549134.8291520001</v>
      </c>
      <c r="M112" s="191" t="s">
        <v>35</v>
      </c>
      <c r="N112" s="191"/>
      <c r="O112" s="192">
        <f>L112-300000</f>
        <v>1249134.8291520001</v>
      </c>
      <c r="P112" s="191" t="s">
        <v>36</v>
      </c>
      <c r="Q112" s="191"/>
      <c r="R112" s="36" t="s">
        <v>37</v>
      </c>
      <c r="S112" s="36" t="s">
        <v>37</v>
      </c>
      <c r="T112" s="36" t="s">
        <v>37</v>
      </c>
    </row>
    <row r="113" spans="1:20" ht="18" customHeight="1" thickTop="1" thickBot="1" x14ac:dyDescent="0.3">
      <c r="A113" s="185" t="s">
        <v>73</v>
      </c>
      <c r="B113" s="185">
        <v>103</v>
      </c>
      <c r="C113" s="186">
        <v>2</v>
      </c>
      <c r="D113" s="191" t="s">
        <v>121</v>
      </c>
      <c r="E113" s="186" t="s">
        <v>34</v>
      </c>
      <c r="F113" s="191">
        <v>3</v>
      </c>
      <c r="G113" s="197">
        <v>88.34</v>
      </c>
      <c r="H113" s="210">
        <v>114.36</v>
      </c>
      <c r="I113" s="189">
        <v>20.436</v>
      </c>
      <c r="J113" s="211">
        <v>5.4329999999999998</v>
      </c>
      <c r="K113" s="191">
        <v>1</v>
      </c>
      <c r="L113" s="192">
        <f t="shared" si="18"/>
        <v>1429828.4407680002</v>
      </c>
      <c r="M113" s="191" t="s">
        <v>35</v>
      </c>
      <c r="N113" s="191"/>
      <c r="O113" s="192">
        <f>L113*0.8</f>
        <v>1143862.7526144001</v>
      </c>
      <c r="P113" s="191" t="s">
        <v>36</v>
      </c>
      <c r="Q113" s="191"/>
      <c r="R113" s="36"/>
      <c r="S113" s="36"/>
      <c r="T113" s="36"/>
    </row>
    <row r="114" spans="1:20" ht="18" customHeight="1" thickTop="1" thickBot="1" x14ac:dyDescent="0.3">
      <c r="A114" s="185" t="s">
        <v>73</v>
      </c>
      <c r="B114" s="185">
        <v>103</v>
      </c>
      <c r="C114" s="186">
        <v>3</v>
      </c>
      <c r="D114" s="186" t="s">
        <v>81</v>
      </c>
      <c r="E114" s="186">
        <v>1</v>
      </c>
      <c r="F114" s="186">
        <v>4</v>
      </c>
      <c r="G114" s="197">
        <v>107.69199999999999</v>
      </c>
      <c r="H114" s="210">
        <v>11.564</v>
      </c>
      <c r="I114" s="189">
        <f t="shared" ref="I114:I117" si="19">H114*0.3</f>
        <v>3.4691999999999998</v>
      </c>
      <c r="J114" s="211">
        <v>4.3970000000000002</v>
      </c>
      <c r="K114" s="191">
        <v>1</v>
      </c>
      <c r="L114" s="192">
        <f t="shared" si="18"/>
        <v>1454776.8768</v>
      </c>
      <c r="M114" s="191" t="s">
        <v>35</v>
      </c>
      <c r="N114" s="191"/>
      <c r="O114" s="192">
        <f>L114*0.8</f>
        <v>1163821.50144</v>
      </c>
      <c r="P114" s="191"/>
      <c r="Q114" s="191"/>
      <c r="R114" s="36" t="s">
        <v>37</v>
      </c>
      <c r="S114" s="36" t="s">
        <v>37</v>
      </c>
      <c r="T114" s="36" t="s">
        <v>37</v>
      </c>
    </row>
    <row r="115" spans="1:20" ht="18" customHeight="1" thickTop="1" thickBot="1" x14ac:dyDescent="0.3">
      <c r="A115" s="87" t="s">
        <v>73</v>
      </c>
      <c r="B115" s="87">
        <v>103</v>
      </c>
      <c r="C115" s="236">
        <v>4</v>
      </c>
      <c r="D115" s="90" t="s">
        <v>111</v>
      </c>
      <c r="E115" s="90">
        <v>1</v>
      </c>
      <c r="F115" s="90">
        <v>5</v>
      </c>
      <c r="G115" s="89">
        <v>124.879</v>
      </c>
      <c r="H115" s="239">
        <v>11.742000000000001</v>
      </c>
      <c r="I115" s="109">
        <f t="shared" si="19"/>
        <v>3.5226000000000002</v>
      </c>
      <c r="J115" s="110">
        <v>4.9219999999999997</v>
      </c>
      <c r="K115" s="90">
        <v>1</v>
      </c>
      <c r="L115" s="178">
        <v>1675911.95</v>
      </c>
      <c r="M115" s="90" t="s">
        <v>35</v>
      </c>
      <c r="N115" s="90"/>
      <c r="O115" s="178">
        <f t="shared" si="14"/>
        <v>1375911.95</v>
      </c>
      <c r="P115" s="90"/>
      <c r="Q115" s="90"/>
      <c r="R115" s="36"/>
      <c r="S115" s="36"/>
      <c r="T115" s="36"/>
    </row>
    <row r="116" spans="1:20" ht="18" customHeight="1" thickTop="1" thickBot="1" x14ac:dyDescent="0.3">
      <c r="A116" s="185" t="s">
        <v>73</v>
      </c>
      <c r="B116" s="185">
        <v>103</v>
      </c>
      <c r="C116" s="186">
        <v>5</v>
      </c>
      <c r="D116" s="186" t="s">
        <v>130</v>
      </c>
      <c r="E116" s="186">
        <v>2</v>
      </c>
      <c r="F116" s="186">
        <v>4</v>
      </c>
      <c r="G116" s="197">
        <v>107.69199999999999</v>
      </c>
      <c r="H116" s="210">
        <v>14.324</v>
      </c>
      <c r="I116" s="189">
        <f t="shared" si="19"/>
        <v>4.2972000000000001</v>
      </c>
      <c r="J116" s="211">
        <v>4.3970000000000002</v>
      </c>
      <c r="K116" s="191">
        <v>1</v>
      </c>
      <c r="L116" s="192">
        <f t="shared" si="18"/>
        <v>1465258.56192</v>
      </c>
      <c r="M116" s="191" t="s">
        <v>35</v>
      </c>
      <c r="N116" s="191"/>
      <c r="O116" s="192">
        <f>L116*0.8</f>
        <v>1172206.8495360001</v>
      </c>
      <c r="P116" s="184"/>
      <c r="Q116" s="191"/>
      <c r="R116" s="36" t="s">
        <v>37</v>
      </c>
      <c r="S116" s="36" t="s">
        <v>37</v>
      </c>
      <c r="T116" s="36" t="s">
        <v>37</v>
      </c>
    </row>
    <row r="117" spans="1:20" ht="18" customHeight="1" thickTop="1" thickBot="1" x14ac:dyDescent="0.3">
      <c r="A117" s="154" t="s">
        <v>73</v>
      </c>
      <c r="B117" s="154">
        <v>103</v>
      </c>
      <c r="C117" s="230">
        <v>6</v>
      </c>
      <c r="D117" s="160" t="s">
        <v>116</v>
      </c>
      <c r="E117" s="160">
        <v>2</v>
      </c>
      <c r="F117" s="160">
        <v>5</v>
      </c>
      <c r="G117" s="156">
        <v>124.879</v>
      </c>
      <c r="H117" s="232">
        <v>23.039000000000001</v>
      </c>
      <c r="I117" s="163">
        <f t="shared" si="19"/>
        <v>6.9117000000000006</v>
      </c>
      <c r="J117" s="171">
        <v>4.9219999999999997</v>
      </c>
      <c r="K117" s="155">
        <v>1</v>
      </c>
      <c r="L117" s="158">
        <v>1718814.7</v>
      </c>
      <c r="M117" s="155" t="s">
        <v>35</v>
      </c>
      <c r="N117" s="155"/>
      <c r="O117" s="158">
        <f t="shared" si="14"/>
        <v>1418814.7</v>
      </c>
      <c r="P117" s="161"/>
      <c r="Q117" s="155"/>
      <c r="R117" s="36" t="s">
        <v>37</v>
      </c>
      <c r="S117" s="36" t="s">
        <v>37</v>
      </c>
      <c r="T117" s="36" t="s">
        <v>37</v>
      </c>
    </row>
    <row r="118" spans="1:20" ht="18" customHeight="1" thickTop="1" thickBot="1" x14ac:dyDescent="0.3">
      <c r="A118" s="49" t="s">
        <v>73</v>
      </c>
      <c r="B118" s="49">
        <v>103</v>
      </c>
      <c r="C118" s="50">
        <v>7</v>
      </c>
      <c r="D118" s="50" t="s">
        <v>82</v>
      </c>
      <c r="E118" s="50">
        <v>3</v>
      </c>
      <c r="F118" s="50">
        <v>6</v>
      </c>
      <c r="G118" s="95">
        <v>158.88800000000001</v>
      </c>
      <c r="H118" s="79">
        <v>111.107</v>
      </c>
      <c r="I118" s="84">
        <v>20.111000000000001</v>
      </c>
      <c r="J118" s="96">
        <v>4.9249999999999998</v>
      </c>
      <c r="K118" s="51">
        <v>1</v>
      </c>
      <c r="L118" s="52">
        <f>(G118+I118+J118*0.4+K118*2)*$P$5 -(13.89*P5*0.15 )</f>
        <v>2289836.7799200001</v>
      </c>
      <c r="M118" s="51" t="s">
        <v>83</v>
      </c>
      <c r="N118" s="51"/>
      <c r="O118" s="52">
        <f t="shared" si="14"/>
        <v>1989836.7799200001</v>
      </c>
      <c r="P118" s="51" t="s">
        <v>38</v>
      </c>
      <c r="Q118" s="51"/>
      <c r="R118" s="53" t="s">
        <v>37</v>
      </c>
      <c r="S118" s="53" t="s">
        <v>37</v>
      </c>
      <c r="T118" s="53" t="s">
        <v>37</v>
      </c>
    </row>
    <row r="119" spans="1:20" ht="18" customHeight="1" thickTop="1" thickBot="1" x14ac:dyDescent="0.3">
      <c r="A119" s="257" t="s">
        <v>135</v>
      </c>
      <c r="B119" s="258"/>
      <c r="C119" s="258"/>
      <c r="D119" s="258"/>
      <c r="E119" s="258"/>
      <c r="F119" s="258"/>
      <c r="G119">
        <v>115.73</v>
      </c>
      <c r="H119"/>
      <c r="I119" s="259" t="s">
        <v>136</v>
      </c>
      <c r="J119" s="258"/>
      <c r="K119" s="258"/>
      <c r="L119" s="141">
        <f>COUNTIF(L109:L118,"כן")/COUNT(C109:C118)</f>
        <v>0</v>
      </c>
      <c r="M119" s="144">
        <v>0.85709999999999997</v>
      </c>
      <c r="N119" s="132"/>
      <c r="O119" s="132"/>
      <c r="P119" s="132"/>
      <c r="Q119" s="132"/>
      <c r="R119" s="132"/>
      <c r="S119" s="132"/>
      <c r="T119" s="132"/>
    </row>
    <row r="120" spans="1:20" ht="18" customHeight="1" thickTop="1" thickBot="1" x14ac:dyDescent="0.3">
      <c r="A120" s="154" t="s">
        <v>74</v>
      </c>
      <c r="B120" s="154">
        <v>103</v>
      </c>
      <c r="C120" s="227">
        <v>1</v>
      </c>
      <c r="D120" s="160" t="s">
        <v>103</v>
      </c>
      <c r="E120" s="155" t="s">
        <v>34</v>
      </c>
      <c r="F120" s="160">
        <v>3</v>
      </c>
      <c r="G120" s="156">
        <v>88.709000000000003</v>
      </c>
      <c r="H120" s="162">
        <v>52.85</v>
      </c>
      <c r="I120" s="165">
        <v>13.57</v>
      </c>
      <c r="J120" s="164">
        <v>5.85</v>
      </c>
      <c r="K120" s="155">
        <v>1</v>
      </c>
      <c r="L120" s="158">
        <f>(G120+I120+J120*0.4+K120*2)*$P$5</f>
        <v>1349694.18576</v>
      </c>
      <c r="M120" s="155" t="s">
        <v>35</v>
      </c>
      <c r="N120" s="155"/>
      <c r="O120" s="158">
        <f>L120*0.8</f>
        <v>1079755.348608</v>
      </c>
      <c r="P120" s="155" t="s">
        <v>36</v>
      </c>
      <c r="Q120" s="155"/>
      <c r="R120" s="35" t="s">
        <v>37</v>
      </c>
      <c r="S120" s="35" t="s">
        <v>37</v>
      </c>
      <c r="T120" s="35" t="s">
        <v>37</v>
      </c>
    </row>
    <row r="121" spans="1:20" ht="18" customHeight="1" thickTop="1" thickBot="1" x14ac:dyDescent="0.3">
      <c r="A121" s="185" t="s">
        <v>74</v>
      </c>
      <c r="B121" s="185">
        <v>103</v>
      </c>
      <c r="C121" s="186">
        <v>2</v>
      </c>
      <c r="D121" s="186" t="s">
        <v>122</v>
      </c>
      <c r="E121" s="186" t="s">
        <v>34</v>
      </c>
      <c r="F121" s="186">
        <v>6</v>
      </c>
      <c r="G121" s="197">
        <v>145.92400000000001</v>
      </c>
      <c r="H121" s="188">
        <v>15.82</v>
      </c>
      <c r="I121" s="209">
        <v>4.7460000000000004</v>
      </c>
      <c r="J121" s="190">
        <v>4.9210000000000003</v>
      </c>
      <c r="K121" s="191">
        <v>1</v>
      </c>
      <c r="L121" s="192">
        <v>1955819.15</v>
      </c>
      <c r="M121" s="191" t="s">
        <v>35</v>
      </c>
      <c r="N121" s="191"/>
      <c r="O121" s="192">
        <f t="shared" si="14"/>
        <v>1655819.15</v>
      </c>
      <c r="P121" s="191" t="s">
        <v>36</v>
      </c>
      <c r="Q121" s="191"/>
      <c r="R121" s="35" t="s">
        <v>37</v>
      </c>
      <c r="S121" s="35" t="s">
        <v>37</v>
      </c>
      <c r="T121" s="35" t="s">
        <v>37</v>
      </c>
    </row>
    <row r="122" spans="1:20" ht="18" customHeight="1" thickTop="1" thickBot="1" x14ac:dyDescent="0.3">
      <c r="A122" s="27" t="s">
        <v>74</v>
      </c>
      <c r="B122" s="27">
        <v>103</v>
      </c>
      <c r="C122" s="181">
        <v>3</v>
      </c>
      <c r="D122" s="23" t="s">
        <v>127</v>
      </c>
      <c r="E122" s="23">
        <v>1</v>
      </c>
      <c r="F122" s="23">
        <v>3</v>
      </c>
      <c r="G122" s="89">
        <v>86.414000000000001</v>
      </c>
      <c r="H122" s="103">
        <v>11.762</v>
      </c>
      <c r="I122" s="88">
        <f t="shared" ref="I122:I124" si="20">H122*0.3</f>
        <v>3.5286</v>
      </c>
      <c r="J122" s="104">
        <v>5.85</v>
      </c>
      <c r="K122" s="24">
        <v>1</v>
      </c>
      <c r="L122" s="25">
        <f>(G122+I122+J122*0.4+K122*2)*$P$5</f>
        <v>1193527.2047040001</v>
      </c>
      <c r="M122" s="24" t="s">
        <v>35</v>
      </c>
      <c r="N122" s="24"/>
      <c r="O122" s="25">
        <f>L122*0.8</f>
        <v>954821.76376320014</v>
      </c>
      <c r="P122" s="24"/>
      <c r="Q122" s="24"/>
      <c r="R122" s="35" t="s">
        <v>37</v>
      </c>
      <c r="S122" s="35" t="s">
        <v>37</v>
      </c>
      <c r="T122" s="35" t="s">
        <v>37</v>
      </c>
    </row>
    <row r="123" spans="1:20" ht="18" customHeight="1" thickTop="1" thickBot="1" x14ac:dyDescent="0.3">
      <c r="A123" s="27" t="s">
        <v>74</v>
      </c>
      <c r="B123" s="27">
        <v>103</v>
      </c>
      <c r="C123" s="181">
        <v>4</v>
      </c>
      <c r="D123" s="24" t="s">
        <v>126</v>
      </c>
      <c r="E123" s="24">
        <v>1</v>
      </c>
      <c r="F123" s="24">
        <v>5</v>
      </c>
      <c r="G123" s="89">
        <v>126.83199999999999</v>
      </c>
      <c r="H123" s="103">
        <v>17.507000000000001</v>
      </c>
      <c r="I123" s="88">
        <f t="shared" si="20"/>
        <v>5.2521000000000004</v>
      </c>
      <c r="J123" s="104">
        <v>4.9210000000000003</v>
      </c>
      <c r="K123" s="24">
        <v>1</v>
      </c>
      <c r="L123" s="25">
        <v>1718815.34</v>
      </c>
      <c r="M123" s="24" t="s">
        <v>35</v>
      </c>
      <c r="N123" s="24"/>
      <c r="O123" s="25">
        <f t="shared" si="14"/>
        <v>1418815.34</v>
      </c>
      <c r="P123" s="24"/>
      <c r="Q123" s="24"/>
      <c r="R123" s="35"/>
      <c r="S123" s="35"/>
      <c r="T123" s="35"/>
    </row>
    <row r="124" spans="1:20" ht="18" customHeight="1" thickTop="1" thickBot="1" x14ac:dyDescent="0.3">
      <c r="A124" s="185" t="s">
        <v>74</v>
      </c>
      <c r="B124" s="185">
        <v>103</v>
      </c>
      <c r="C124" s="186">
        <v>5</v>
      </c>
      <c r="D124" s="186" t="s">
        <v>129</v>
      </c>
      <c r="E124" s="186">
        <v>2</v>
      </c>
      <c r="F124" s="186">
        <v>3</v>
      </c>
      <c r="G124" s="197">
        <v>86.414000000000001</v>
      </c>
      <c r="H124" s="188">
        <v>14.222</v>
      </c>
      <c r="I124" s="209">
        <f t="shared" si="20"/>
        <v>4.2665999999999995</v>
      </c>
      <c r="J124" s="190">
        <v>5.85</v>
      </c>
      <c r="K124" s="191">
        <v>1</v>
      </c>
      <c r="L124" s="192">
        <f>(G124+I124+J124*0.4+K124*2)*$P$5</f>
        <v>1202869.5762240002</v>
      </c>
      <c r="M124" s="191" t="s">
        <v>35</v>
      </c>
      <c r="N124" s="191"/>
      <c r="O124" s="192">
        <f>L124*0.8</f>
        <v>962295.66097920015</v>
      </c>
      <c r="P124" s="191"/>
      <c r="Q124" s="191"/>
      <c r="R124" s="35" t="s">
        <v>37</v>
      </c>
      <c r="S124" s="35" t="s">
        <v>37</v>
      </c>
      <c r="T124" s="35" t="s">
        <v>37</v>
      </c>
    </row>
    <row r="125" spans="1:20" ht="18" customHeight="1" thickTop="1" thickBot="1" x14ac:dyDescent="0.3">
      <c r="A125" s="185" t="s">
        <v>74</v>
      </c>
      <c r="B125" s="185">
        <v>103</v>
      </c>
      <c r="C125" s="186">
        <v>6</v>
      </c>
      <c r="D125" s="214" t="s">
        <v>115</v>
      </c>
      <c r="E125" s="214">
        <v>2</v>
      </c>
      <c r="F125" s="214">
        <v>5</v>
      </c>
      <c r="G125" s="197">
        <v>126.83199999999999</v>
      </c>
      <c r="H125" s="188">
        <v>23.013999999999999</v>
      </c>
      <c r="I125" s="209">
        <f t="shared" ref="I125" si="21">H125*0.3</f>
        <v>6.9041999999999994</v>
      </c>
      <c r="J125" s="190">
        <v>4.9210000000000003</v>
      </c>
      <c r="K125" s="191">
        <v>1</v>
      </c>
      <c r="L125" s="192">
        <v>1739729.34</v>
      </c>
      <c r="M125" s="191" t="s">
        <v>35</v>
      </c>
      <c r="N125" s="214"/>
      <c r="O125" s="192">
        <f t="shared" si="14"/>
        <v>1439729.34</v>
      </c>
      <c r="P125" s="184"/>
      <c r="Q125" s="214"/>
      <c r="R125" s="35"/>
      <c r="S125" s="35"/>
      <c r="T125" s="35"/>
    </row>
    <row r="126" spans="1:20" ht="18" customHeight="1" thickTop="1" thickBot="1" x14ac:dyDescent="0.3">
      <c r="A126" s="47" t="s">
        <v>74</v>
      </c>
      <c r="B126" s="55">
        <v>103</v>
      </c>
      <c r="C126" s="55">
        <v>7</v>
      </c>
      <c r="D126" s="55" t="s">
        <v>78</v>
      </c>
      <c r="E126" s="55">
        <v>3</v>
      </c>
      <c r="F126" s="55">
        <v>6</v>
      </c>
      <c r="G126" s="91">
        <v>160.035</v>
      </c>
      <c r="H126" s="105">
        <v>92.278000000000006</v>
      </c>
      <c r="I126" s="101">
        <v>18.228000000000002</v>
      </c>
      <c r="J126" s="106">
        <v>4.9180000000000001</v>
      </c>
      <c r="K126" s="45">
        <v>1</v>
      </c>
      <c r="L126" s="56">
        <v>2278307.56</v>
      </c>
      <c r="M126" s="45" t="s">
        <v>83</v>
      </c>
      <c r="N126" s="55"/>
      <c r="O126" s="56">
        <f t="shared" si="14"/>
        <v>1978307.56</v>
      </c>
      <c r="P126" s="45" t="s">
        <v>38</v>
      </c>
      <c r="Q126" s="55"/>
      <c r="R126" s="48"/>
      <c r="S126" s="48"/>
      <c r="T126" s="48"/>
    </row>
    <row r="127" spans="1:20" ht="18" customHeight="1" thickTop="1" thickBot="1" x14ac:dyDescent="0.3">
      <c r="A127" s="257" t="s">
        <v>135</v>
      </c>
      <c r="B127" s="258"/>
      <c r="C127" s="258"/>
      <c r="D127" s="258"/>
      <c r="E127" s="258"/>
      <c r="F127" s="258"/>
      <c r="G127" s="140">
        <v>117.31</v>
      </c>
      <c r="H127" s="139"/>
      <c r="I127" s="259" t="s">
        <v>136</v>
      </c>
      <c r="J127" s="258"/>
      <c r="K127" s="258"/>
      <c r="L127" s="141">
        <f>COUNTIF(L117:L126,"כן")/COUNT(C117:C126)</f>
        <v>0</v>
      </c>
      <c r="M127" s="144">
        <v>0.85709999999999997</v>
      </c>
      <c r="N127" s="132"/>
      <c r="O127" s="132"/>
      <c r="P127" s="132"/>
      <c r="Q127" s="132"/>
      <c r="R127" s="132"/>
      <c r="S127" s="132"/>
      <c r="T127" s="132"/>
    </row>
    <row r="128" spans="1:20" ht="18" customHeight="1" thickTop="1" thickBot="1" x14ac:dyDescent="0.3">
      <c r="A128" s="185" t="s">
        <v>75</v>
      </c>
      <c r="B128" s="185">
        <v>103</v>
      </c>
      <c r="C128" s="250">
        <v>1</v>
      </c>
      <c r="D128" s="250" t="s">
        <v>123</v>
      </c>
      <c r="E128" s="250" t="s">
        <v>34</v>
      </c>
      <c r="F128" s="250">
        <v>6</v>
      </c>
      <c r="G128" s="215">
        <v>145.92400000000001</v>
      </c>
      <c r="H128" s="216">
        <v>50.7</v>
      </c>
      <c r="I128" s="209">
        <v>13.14</v>
      </c>
      <c r="J128" s="251">
        <v>4.9210000000000003</v>
      </c>
      <c r="K128" s="214">
        <v>1</v>
      </c>
      <c r="L128" s="252">
        <v>2062079.13</v>
      </c>
      <c r="M128" s="214" t="s">
        <v>35</v>
      </c>
      <c r="N128" s="214"/>
      <c r="O128" s="192">
        <f t="shared" si="14"/>
        <v>1762079.13</v>
      </c>
      <c r="P128" s="214" t="s">
        <v>36</v>
      </c>
      <c r="Q128" s="214"/>
      <c r="R128" s="36" t="s">
        <v>37</v>
      </c>
      <c r="S128" s="36" t="s">
        <v>37</v>
      </c>
      <c r="T128" s="36"/>
    </row>
    <row r="129" spans="1:20" ht="18" customHeight="1" thickTop="1" thickBot="1" x14ac:dyDescent="0.3">
      <c r="A129" s="185" t="s">
        <v>75</v>
      </c>
      <c r="B129" s="185">
        <v>103</v>
      </c>
      <c r="C129" s="250">
        <v>2</v>
      </c>
      <c r="D129" s="250" t="s">
        <v>113</v>
      </c>
      <c r="E129" s="250" t="s">
        <v>34</v>
      </c>
      <c r="F129" s="250">
        <v>3</v>
      </c>
      <c r="G129" s="215">
        <v>88.709000000000003</v>
      </c>
      <c r="H129" s="216">
        <v>53.35</v>
      </c>
      <c r="I129" s="209">
        <v>13.67</v>
      </c>
      <c r="J129" s="251">
        <v>5.85</v>
      </c>
      <c r="K129" s="214">
        <v>1</v>
      </c>
      <c r="L129" s="252">
        <f>(G129+I129+J129*0.4+K129*2)*$P$5</f>
        <v>1350960.0897600001</v>
      </c>
      <c r="M129" s="214" t="s">
        <v>35</v>
      </c>
      <c r="N129" s="214"/>
      <c r="O129" s="192">
        <f>L129*0.8</f>
        <v>1080768.0718080001</v>
      </c>
      <c r="P129" s="214" t="s">
        <v>36</v>
      </c>
      <c r="Q129" s="214"/>
      <c r="R129" s="36" t="s">
        <v>37</v>
      </c>
      <c r="S129" s="36" t="s">
        <v>37</v>
      </c>
      <c r="T129" s="36"/>
    </row>
    <row r="130" spans="1:20" ht="18" customHeight="1" thickTop="1" thickBot="1" x14ac:dyDescent="0.3">
      <c r="A130" s="87" t="s">
        <v>75</v>
      </c>
      <c r="B130" s="87">
        <v>103</v>
      </c>
      <c r="C130" s="254">
        <v>3</v>
      </c>
      <c r="D130" s="240" t="s">
        <v>107</v>
      </c>
      <c r="E130" s="240">
        <v>1</v>
      </c>
      <c r="F130" s="240">
        <v>5</v>
      </c>
      <c r="G130" s="241">
        <v>126.83199999999999</v>
      </c>
      <c r="H130" s="242">
        <v>17.507000000000001</v>
      </c>
      <c r="I130" s="109">
        <f t="shared" ref="I130:I133" si="22">H130*0.3</f>
        <v>5.2521000000000004</v>
      </c>
      <c r="J130" s="243">
        <v>4.9210000000000003</v>
      </c>
      <c r="K130" s="244">
        <v>1</v>
      </c>
      <c r="L130" s="178">
        <v>1718815.34</v>
      </c>
      <c r="M130" s="244" t="s">
        <v>35</v>
      </c>
      <c r="N130" s="244"/>
      <c r="O130" s="245">
        <f t="shared" si="14"/>
        <v>1418815.34</v>
      </c>
      <c r="P130" s="246"/>
      <c r="Q130" s="244"/>
      <c r="R130" s="36" t="s">
        <v>37</v>
      </c>
      <c r="S130" s="36" t="s">
        <v>37</v>
      </c>
      <c r="T130" s="36" t="s">
        <v>37</v>
      </c>
    </row>
    <row r="131" spans="1:20" ht="18" customHeight="1" thickTop="1" thickBot="1" x14ac:dyDescent="0.3">
      <c r="A131" s="87" t="s">
        <v>75</v>
      </c>
      <c r="B131" s="87">
        <v>103</v>
      </c>
      <c r="C131" s="254">
        <v>4</v>
      </c>
      <c r="D131" s="240" t="s">
        <v>127</v>
      </c>
      <c r="E131" s="240">
        <v>1</v>
      </c>
      <c r="F131" s="240">
        <v>3</v>
      </c>
      <c r="G131" s="241">
        <v>86.414000000000001</v>
      </c>
      <c r="H131" s="242">
        <v>11.762</v>
      </c>
      <c r="I131" s="109">
        <f t="shared" si="22"/>
        <v>3.5286</v>
      </c>
      <c r="J131" s="243">
        <v>5.85</v>
      </c>
      <c r="K131" s="244">
        <v>1</v>
      </c>
      <c r="L131" s="245">
        <f>(G131+I131+J131*0.4+K131*2)*$P$5</f>
        <v>1193527.2047040001</v>
      </c>
      <c r="M131" s="244" t="s">
        <v>35</v>
      </c>
      <c r="N131" s="244"/>
      <c r="O131" s="178">
        <f>L131*0.8</f>
        <v>954821.76376320014</v>
      </c>
      <c r="P131" s="246"/>
      <c r="Q131" s="244"/>
      <c r="R131" s="36" t="s">
        <v>37</v>
      </c>
      <c r="S131" s="36" t="s">
        <v>37</v>
      </c>
      <c r="T131" s="36" t="s">
        <v>37</v>
      </c>
    </row>
    <row r="132" spans="1:20" ht="18" customHeight="1" thickTop="1" thickBot="1" x14ac:dyDescent="0.3">
      <c r="A132" s="185" t="s">
        <v>75</v>
      </c>
      <c r="B132" s="185">
        <v>103</v>
      </c>
      <c r="C132" s="253">
        <v>5</v>
      </c>
      <c r="D132" s="250" t="s">
        <v>115</v>
      </c>
      <c r="E132" s="250">
        <v>2</v>
      </c>
      <c r="F132" s="250">
        <v>5</v>
      </c>
      <c r="G132" s="215">
        <v>126.83199999999999</v>
      </c>
      <c r="H132" s="216">
        <v>23.024000000000001</v>
      </c>
      <c r="I132" s="189">
        <f t="shared" si="22"/>
        <v>6.9072000000000005</v>
      </c>
      <c r="J132" s="251">
        <v>4.9210000000000003</v>
      </c>
      <c r="K132" s="214">
        <v>1</v>
      </c>
      <c r="L132" s="192">
        <v>1739767.31</v>
      </c>
      <c r="M132" s="214" t="s">
        <v>35</v>
      </c>
      <c r="N132" s="214"/>
      <c r="O132" s="252">
        <f t="shared" si="14"/>
        <v>1439767.31</v>
      </c>
      <c r="P132" s="219"/>
      <c r="Q132" s="214"/>
      <c r="R132" s="36" t="s">
        <v>37</v>
      </c>
      <c r="S132" s="36" t="s">
        <v>37</v>
      </c>
      <c r="T132" s="36" t="s">
        <v>37</v>
      </c>
    </row>
    <row r="133" spans="1:20" ht="18" customHeight="1" thickTop="1" thickBot="1" x14ac:dyDescent="0.3">
      <c r="A133" s="154" t="s">
        <v>75</v>
      </c>
      <c r="B133" s="154">
        <v>103</v>
      </c>
      <c r="C133" s="233">
        <v>6</v>
      </c>
      <c r="D133" s="172" t="s">
        <v>129</v>
      </c>
      <c r="E133" s="172">
        <v>2</v>
      </c>
      <c r="F133" s="172">
        <v>3</v>
      </c>
      <c r="G133" s="173">
        <v>86.414000000000001</v>
      </c>
      <c r="H133" s="174">
        <v>14.141999999999999</v>
      </c>
      <c r="I133" s="163">
        <f t="shared" si="22"/>
        <v>4.2425999999999995</v>
      </c>
      <c r="J133" s="175">
        <v>5.85</v>
      </c>
      <c r="K133" s="176">
        <v>1</v>
      </c>
      <c r="L133" s="177">
        <f>(G133+I133+J133*0.4+K133*2)*$P$5</f>
        <v>1202565.759264</v>
      </c>
      <c r="M133" s="176" t="s">
        <v>35</v>
      </c>
      <c r="N133" s="176"/>
      <c r="O133" s="158">
        <f>L133*0.8</f>
        <v>962052.60741120006</v>
      </c>
      <c r="P133" s="234"/>
      <c r="Q133" s="176"/>
      <c r="R133" s="36" t="s">
        <v>37</v>
      </c>
      <c r="S133" s="36" t="s">
        <v>37</v>
      </c>
      <c r="T133" s="36" t="s">
        <v>37</v>
      </c>
    </row>
    <row r="134" spans="1:20" ht="18" customHeight="1" thickTop="1" thickBot="1" x14ac:dyDescent="0.3">
      <c r="A134" s="49" t="s">
        <v>75</v>
      </c>
      <c r="B134" s="57">
        <v>103</v>
      </c>
      <c r="C134" s="58">
        <v>7</v>
      </c>
      <c r="D134" s="58" t="s">
        <v>78</v>
      </c>
      <c r="E134" s="58">
        <v>3</v>
      </c>
      <c r="F134" s="58">
        <v>6</v>
      </c>
      <c r="G134" s="95">
        <v>160.035</v>
      </c>
      <c r="H134" s="80">
        <v>92.265000000000001</v>
      </c>
      <c r="I134" s="84">
        <v>18.227</v>
      </c>
      <c r="J134" s="98">
        <v>4.9180000000000001</v>
      </c>
      <c r="K134" s="57">
        <v>1</v>
      </c>
      <c r="L134" s="59">
        <v>2278291.1</v>
      </c>
      <c r="M134" s="57" t="s">
        <v>83</v>
      </c>
      <c r="N134" s="57"/>
      <c r="O134" s="59">
        <f t="shared" si="14"/>
        <v>1978291.1</v>
      </c>
      <c r="P134" s="57" t="s">
        <v>38</v>
      </c>
      <c r="Q134" s="57"/>
      <c r="R134" s="53" t="s">
        <v>37</v>
      </c>
      <c r="S134" s="53" t="s">
        <v>37</v>
      </c>
      <c r="T134" s="53" t="s">
        <v>37</v>
      </c>
    </row>
    <row r="135" spans="1:20" ht="18" customHeight="1" thickTop="1" thickBot="1" x14ac:dyDescent="0.3">
      <c r="A135" s="257" t="s">
        <v>135</v>
      </c>
      <c r="B135" s="258"/>
      <c r="C135" s="258"/>
      <c r="D135" s="258"/>
      <c r="E135" s="258"/>
      <c r="F135" s="258"/>
      <c r="G135" s="140">
        <v>117.31</v>
      </c>
      <c r="H135" s="139"/>
      <c r="I135" s="259" t="s">
        <v>136</v>
      </c>
      <c r="J135" s="258"/>
      <c r="K135" s="258"/>
      <c r="L135" s="141">
        <f>COUNTIF(L125:L134,"כן")/COUNT(C125:C134)</f>
        <v>0</v>
      </c>
      <c r="M135" s="144">
        <v>0.85709999999999997</v>
      </c>
      <c r="N135"/>
      <c r="O135"/>
      <c r="P135"/>
      <c r="Q135"/>
      <c r="R135"/>
      <c r="S135"/>
      <c r="T135"/>
    </row>
    <row r="136" spans="1:20" ht="18" customHeight="1" thickTop="1" thickBot="1" x14ac:dyDescent="0.3">
      <c r="A136" s="185" t="s">
        <v>76</v>
      </c>
      <c r="B136" s="208">
        <v>103</v>
      </c>
      <c r="C136" s="191">
        <v>1</v>
      </c>
      <c r="D136" s="191" t="s">
        <v>124</v>
      </c>
      <c r="E136" s="191" t="s">
        <v>34</v>
      </c>
      <c r="F136" s="191">
        <v>3</v>
      </c>
      <c r="G136" s="215">
        <v>88.34</v>
      </c>
      <c r="H136" s="216">
        <v>123.7</v>
      </c>
      <c r="I136" s="209">
        <v>21</v>
      </c>
      <c r="J136" s="217">
        <v>5.4329999999999998</v>
      </c>
      <c r="K136" s="214">
        <v>1</v>
      </c>
      <c r="L136" s="192">
        <f t="shared" ref="L136:L141" si="23">(G136+I136+J136*0.4+K136*2)*$P$5</f>
        <v>1436968.1393280001</v>
      </c>
      <c r="M136" s="214" t="s">
        <v>35</v>
      </c>
      <c r="N136" s="191"/>
      <c r="O136" s="192">
        <f>L136*0.8</f>
        <v>1149574.5114624002</v>
      </c>
      <c r="P136" s="191" t="s">
        <v>36</v>
      </c>
      <c r="Q136" s="191"/>
      <c r="R136" s="75"/>
      <c r="S136" s="75"/>
      <c r="T136" s="75"/>
    </row>
    <row r="137" spans="1:20" ht="18" customHeight="1" thickTop="1" thickBot="1" x14ac:dyDescent="0.3">
      <c r="A137" s="185" t="s">
        <v>76</v>
      </c>
      <c r="B137" s="208">
        <v>103</v>
      </c>
      <c r="C137" s="191">
        <v>2</v>
      </c>
      <c r="D137" s="191" t="s">
        <v>110</v>
      </c>
      <c r="E137" s="191" t="s">
        <v>34</v>
      </c>
      <c r="F137" s="191">
        <v>4</v>
      </c>
      <c r="G137" s="215">
        <v>107.745</v>
      </c>
      <c r="H137" s="216">
        <v>70.2</v>
      </c>
      <c r="I137" s="209">
        <v>16.02</v>
      </c>
      <c r="J137" s="217">
        <v>4.3970000000000002</v>
      </c>
      <c r="K137" s="214">
        <v>1</v>
      </c>
      <c r="L137" s="192">
        <f t="shared" si="23"/>
        <v>1614328.885152</v>
      </c>
      <c r="M137" s="214" t="s">
        <v>35</v>
      </c>
      <c r="N137" s="191"/>
      <c r="O137" s="192">
        <f>L137-300000</f>
        <v>1314328.885152</v>
      </c>
      <c r="P137" s="191" t="s">
        <v>36</v>
      </c>
      <c r="Q137" s="191"/>
      <c r="R137" s="75"/>
      <c r="S137" s="75"/>
      <c r="T137" s="75"/>
    </row>
    <row r="138" spans="1:20" ht="18" customHeight="1" thickTop="1" thickBot="1" x14ac:dyDescent="0.3">
      <c r="A138" s="185" t="s">
        <v>76</v>
      </c>
      <c r="B138" s="185">
        <v>103</v>
      </c>
      <c r="C138" s="186">
        <v>3</v>
      </c>
      <c r="D138" s="191" t="s">
        <v>111</v>
      </c>
      <c r="E138" s="186">
        <v>1</v>
      </c>
      <c r="F138" s="186">
        <v>5</v>
      </c>
      <c r="G138" s="215">
        <v>124.878</v>
      </c>
      <c r="H138" s="216">
        <v>11.742000000000001</v>
      </c>
      <c r="I138" s="209">
        <f t="shared" ref="I138:I141" si="24">H138*0.3</f>
        <v>3.5226000000000002</v>
      </c>
      <c r="J138" s="217">
        <v>4.9219999999999997</v>
      </c>
      <c r="K138" s="214">
        <v>1</v>
      </c>
      <c r="L138" s="192">
        <v>1675901.19</v>
      </c>
      <c r="M138" s="191" t="s">
        <v>35</v>
      </c>
      <c r="N138" s="191"/>
      <c r="O138" s="192">
        <f t="shared" si="14"/>
        <v>1375901.19</v>
      </c>
      <c r="P138" s="191"/>
      <c r="Q138" s="191"/>
      <c r="R138" s="35" t="s">
        <v>37</v>
      </c>
      <c r="S138" s="35" t="s">
        <v>37</v>
      </c>
      <c r="T138" s="35" t="s">
        <v>37</v>
      </c>
    </row>
    <row r="139" spans="1:20" ht="18" customHeight="1" thickTop="1" thickBot="1" x14ac:dyDescent="0.3">
      <c r="A139" s="185" t="s">
        <v>76</v>
      </c>
      <c r="B139" s="185">
        <v>103</v>
      </c>
      <c r="C139" s="186">
        <v>4</v>
      </c>
      <c r="D139" s="186" t="s">
        <v>81</v>
      </c>
      <c r="E139" s="186">
        <v>1</v>
      </c>
      <c r="F139" s="186">
        <v>4</v>
      </c>
      <c r="G139" s="215">
        <v>107.69199999999999</v>
      </c>
      <c r="H139" s="216">
        <v>11.564</v>
      </c>
      <c r="I139" s="209">
        <f t="shared" si="24"/>
        <v>3.4691999999999998</v>
      </c>
      <c r="J139" s="217">
        <v>4.3970000000000002</v>
      </c>
      <c r="K139" s="214">
        <v>1</v>
      </c>
      <c r="L139" s="192">
        <f t="shared" si="23"/>
        <v>1454776.8768</v>
      </c>
      <c r="M139" s="191" t="s">
        <v>35</v>
      </c>
      <c r="N139" s="191"/>
      <c r="O139" s="192">
        <f>L139*0.8</f>
        <v>1163821.50144</v>
      </c>
      <c r="P139" s="191"/>
      <c r="Q139" s="191"/>
      <c r="R139" s="35" t="s">
        <v>37</v>
      </c>
      <c r="S139" s="35" t="s">
        <v>37</v>
      </c>
      <c r="T139" s="35" t="s">
        <v>37</v>
      </c>
    </row>
    <row r="140" spans="1:20" ht="18" customHeight="1" thickTop="1" thickBot="1" x14ac:dyDescent="0.3">
      <c r="A140" s="185" t="s">
        <v>76</v>
      </c>
      <c r="B140" s="185">
        <v>103</v>
      </c>
      <c r="C140" s="186">
        <v>5</v>
      </c>
      <c r="D140" s="186" t="s">
        <v>116</v>
      </c>
      <c r="E140" s="186">
        <v>2</v>
      </c>
      <c r="F140" s="186">
        <v>5</v>
      </c>
      <c r="G140" s="215">
        <v>124.878</v>
      </c>
      <c r="H140" s="216">
        <v>14.962999999999999</v>
      </c>
      <c r="I140" s="209">
        <f t="shared" si="24"/>
        <v>4.4888999999999992</v>
      </c>
      <c r="J140" s="217">
        <v>4.9219999999999997</v>
      </c>
      <c r="K140" s="214">
        <v>1</v>
      </c>
      <c r="L140" s="192">
        <v>1688133.62</v>
      </c>
      <c r="M140" s="191" t="s">
        <v>35</v>
      </c>
      <c r="N140" s="191"/>
      <c r="O140" s="192">
        <f t="shared" si="14"/>
        <v>1388133.62</v>
      </c>
      <c r="P140" s="184"/>
      <c r="Q140" s="191"/>
      <c r="R140" s="35" t="s">
        <v>37</v>
      </c>
      <c r="S140" s="35" t="s">
        <v>37</v>
      </c>
      <c r="T140" s="35" t="s">
        <v>37</v>
      </c>
    </row>
    <row r="141" spans="1:20" ht="18" customHeight="1" thickTop="1" thickBot="1" x14ac:dyDescent="0.3">
      <c r="A141" s="185" t="s">
        <v>76</v>
      </c>
      <c r="B141" s="185">
        <v>103</v>
      </c>
      <c r="C141" s="186">
        <v>6</v>
      </c>
      <c r="D141" s="186" t="s">
        <v>130</v>
      </c>
      <c r="E141" s="186">
        <v>2</v>
      </c>
      <c r="F141" s="186">
        <v>4</v>
      </c>
      <c r="G141" s="215">
        <v>107.69199999999999</v>
      </c>
      <c r="H141" s="216">
        <v>14.564</v>
      </c>
      <c r="I141" s="218">
        <f t="shared" si="24"/>
        <v>4.3692000000000002</v>
      </c>
      <c r="J141" s="217">
        <v>4.3970000000000002</v>
      </c>
      <c r="K141" s="214">
        <v>1</v>
      </c>
      <c r="L141" s="192">
        <f t="shared" si="23"/>
        <v>1466170.0127999999</v>
      </c>
      <c r="M141" s="191" t="s">
        <v>35</v>
      </c>
      <c r="N141" s="191"/>
      <c r="O141" s="192">
        <f>L141*0.8</f>
        <v>1172936.01024</v>
      </c>
      <c r="P141" s="184"/>
      <c r="Q141" s="191"/>
      <c r="R141" s="35" t="s">
        <v>37</v>
      </c>
      <c r="S141" s="35" t="s">
        <v>37</v>
      </c>
      <c r="T141" s="35" t="s">
        <v>37</v>
      </c>
    </row>
    <row r="142" spans="1:20" ht="18" customHeight="1" thickTop="1" thickBot="1" x14ac:dyDescent="0.3">
      <c r="A142" s="47" t="s">
        <v>76</v>
      </c>
      <c r="B142" s="47">
        <v>103</v>
      </c>
      <c r="C142" s="44">
        <v>7</v>
      </c>
      <c r="D142" s="44" t="s">
        <v>60</v>
      </c>
      <c r="E142" s="44">
        <v>3</v>
      </c>
      <c r="F142" s="44">
        <v>6</v>
      </c>
      <c r="G142" s="99">
        <v>159.798</v>
      </c>
      <c r="H142" s="100">
        <v>115.907</v>
      </c>
      <c r="I142" s="107">
        <v>20.591000000000001</v>
      </c>
      <c r="J142" s="102">
        <v>4.91</v>
      </c>
      <c r="K142" s="55">
        <v>1</v>
      </c>
      <c r="L142" s="46">
        <f>(G142+I142+J142*0.4+K142*2)*$P$5 -(14.8*P5*0.15 )</f>
        <v>2305628.9323200001</v>
      </c>
      <c r="M142" s="45" t="s">
        <v>83</v>
      </c>
      <c r="N142" s="45"/>
      <c r="O142" s="46">
        <f t="shared" si="14"/>
        <v>2005628.9323200001</v>
      </c>
      <c r="P142" s="45" t="s">
        <v>38</v>
      </c>
      <c r="Q142" s="45"/>
      <c r="R142" s="48" t="s">
        <v>37</v>
      </c>
      <c r="S142" s="48" t="s">
        <v>37</v>
      </c>
      <c r="T142" s="48" t="s">
        <v>37</v>
      </c>
    </row>
    <row r="143" spans="1:20" ht="18" customHeight="1" thickTop="1" thickBot="1" x14ac:dyDescent="0.3">
      <c r="A143" s="257" t="s">
        <v>135</v>
      </c>
      <c r="B143" s="258"/>
      <c r="C143" s="258"/>
      <c r="D143" s="258"/>
      <c r="E143" s="258"/>
      <c r="F143" s="258"/>
      <c r="G143" s="140">
        <v>117.29</v>
      </c>
      <c r="H143" s="139"/>
      <c r="I143" s="259" t="s">
        <v>136</v>
      </c>
      <c r="J143" s="258"/>
      <c r="K143" s="258"/>
      <c r="L143" s="141">
        <f>COUNTIF(L133:L142,"כן")/COUNT(C133:C142)</f>
        <v>0</v>
      </c>
      <c r="M143" s="144">
        <v>0.85709999999999997</v>
      </c>
    </row>
    <row r="144" spans="1:20" ht="18" customHeight="1" thickTop="1" thickBot="1" x14ac:dyDescent="0.3">
      <c r="A144" s="185" t="s">
        <v>77</v>
      </c>
      <c r="B144" s="185">
        <v>103</v>
      </c>
      <c r="C144" s="186">
        <v>1</v>
      </c>
      <c r="D144" s="186" t="s">
        <v>114</v>
      </c>
      <c r="E144" s="212" t="s">
        <v>34</v>
      </c>
      <c r="F144" s="186">
        <v>4</v>
      </c>
      <c r="G144" s="197">
        <v>106.92100000000001</v>
      </c>
      <c r="H144" s="210">
        <v>59</v>
      </c>
      <c r="I144" s="213">
        <v>14.8</v>
      </c>
      <c r="J144" s="211">
        <v>4.3849999999999998</v>
      </c>
      <c r="K144" s="191">
        <v>2</v>
      </c>
      <c r="L144" s="192">
        <f>(G144+I144+J144*0.4+K144*2)*$P$5</f>
        <v>1613711.1240000003</v>
      </c>
      <c r="M144" s="191" t="s">
        <v>35</v>
      </c>
      <c r="N144" s="191"/>
      <c r="O144" s="192">
        <f>L144-300000</f>
        <v>1313711.1240000003</v>
      </c>
      <c r="P144" s="214" t="s">
        <v>36</v>
      </c>
      <c r="Q144" s="191"/>
      <c r="R144" s="36" t="s">
        <v>37</v>
      </c>
      <c r="S144" s="36" t="s">
        <v>37</v>
      </c>
      <c r="T144" s="36" t="s">
        <v>37</v>
      </c>
    </row>
    <row r="145" spans="1:20" ht="18" customHeight="1" thickTop="1" thickBot="1" x14ac:dyDescent="0.3">
      <c r="A145" s="49" t="s">
        <v>77</v>
      </c>
      <c r="B145" s="49">
        <v>103</v>
      </c>
      <c r="C145" s="50">
        <v>2</v>
      </c>
      <c r="D145" s="50" t="s">
        <v>125</v>
      </c>
      <c r="E145" s="58" t="s">
        <v>34</v>
      </c>
      <c r="F145" s="50">
        <v>6</v>
      </c>
      <c r="G145" s="95">
        <v>145.93600000000001</v>
      </c>
      <c r="H145" s="79">
        <v>90.6</v>
      </c>
      <c r="I145" s="128">
        <v>18.059999999999999</v>
      </c>
      <c r="J145" s="96">
        <v>4.9210000000000003</v>
      </c>
      <c r="K145" s="51">
        <v>1</v>
      </c>
      <c r="L145" s="52">
        <v>2124490.73</v>
      </c>
      <c r="M145" s="51" t="s">
        <v>83</v>
      </c>
      <c r="N145" s="51"/>
      <c r="O145" s="52">
        <f>L145-300000</f>
        <v>1824490.73</v>
      </c>
      <c r="P145" s="57" t="s">
        <v>36</v>
      </c>
      <c r="Q145" s="51"/>
      <c r="R145" s="53" t="s">
        <v>37</v>
      </c>
      <c r="S145" s="53" t="s">
        <v>37</v>
      </c>
      <c r="T145" s="53" t="s">
        <v>37</v>
      </c>
    </row>
    <row r="146" spans="1:20" ht="18" customHeight="1" thickTop="1" thickBot="1" x14ac:dyDescent="0.3">
      <c r="A146" s="185" t="s">
        <v>77</v>
      </c>
      <c r="B146" s="185">
        <v>103</v>
      </c>
      <c r="C146" s="191">
        <v>3</v>
      </c>
      <c r="D146" s="191" t="s">
        <v>81</v>
      </c>
      <c r="E146" s="191">
        <v>1</v>
      </c>
      <c r="F146" s="191">
        <v>4</v>
      </c>
      <c r="G146" s="197">
        <v>107.71899999999999</v>
      </c>
      <c r="H146" s="210">
        <v>11.757</v>
      </c>
      <c r="I146" s="189">
        <f t="shared" ref="I146:I149" si="25">H146*0.3</f>
        <v>3.5270999999999999</v>
      </c>
      <c r="J146" s="211">
        <v>4.3849999999999998</v>
      </c>
      <c r="K146" s="191">
        <v>1</v>
      </c>
      <c r="L146" s="192">
        <f>(G146+I146+J146*0.4+K146*2)*$P$5</f>
        <v>1455790.8659040001</v>
      </c>
      <c r="M146" s="191" t="s">
        <v>35</v>
      </c>
      <c r="N146" s="191"/>
      <c r="O146" s="192">
        <f>L146*0.8</f>
        <v>1164632.6927232002</v>
      </c>
      <c r="P146" s="219"/>
      <c r="Q146" s="191"/>
      <c r="R146" s="36"/>
      <c r="S146" s="36"/>
      <c r="T146" s="36"/>
    </row>
    <row r="147" spans="1:20" ht="18" customHeight="1" thickTop="1" thickBot="1" x14ac:dyDescent="0.3">
      <c r="A147" s="185" t="s">
        <v>77</v>
      </c>
      <c r="B147" s="185">
        <v>103</v>
      </c>
      <c r="C147" s="220">
        <v>4</v>
      </c>
      <c r="D147" s="191" t="s">
        <v>107</v>
      </c>
      <c r="E147" s="191">
        <v>1</v>
      </c>
      <c r="F147" s="191">
        <v>5</v>
      </c>
      <c r="G147" s="197">
        <v>126.935</v>
      </c>
      <c r="H147" s="210">
        <v>17.905999999999999</v>
      </c>
      <c r="I147" s="189">
        <f t="shared" si="25"/>
        <v>5.3717999999999995</v>
      </c>
      <c r="J147" s="211">
        <v>4.9219999999999997</v>
      </c>
      <c r="K147" s="191">
        <v>1</v>
      </c>
      <c r="L147" s="192">
        <v>1721443.99</v>
      </c>
      <c r="M147" s="191" t="s">
        <v>35</v>
      </c>
      <c r="N147" s="223"/>
      <c r="O147" s="192">
        <f t="shared" ref="O147:O150" si="26">L147-300000</f>
        <v>1421443.99</v>
      </c>
      <c r="P147" s="219"/>
      <c r="Q147" s="223"/>
      <c r="R147" s="36"/>
      <c r="S147" s="36"/>
      <c r="T147" s="36"/>
    </row>
    <row r="148" spans="1:20" ht="18" customHeight="1" thickTop="1" thickBot="1" x14ac:dyDescent="0.3">
      <c r="A148" s="185" t="s">
        <v>77</v>
      </c>
      <c r="B148" s="185">
        <v>103</v>
      </c>
      <c r="C148" s="220">
        <v>5</v>
      </c>
      <c r="D148" s="191" t="s">
        <v>130</v>
      </c>
      <c r="E148" s="191">
        <v>2</v>
      </c>
      <c r="F148" s="191">
        <v>4</v>
      </c>
      <c r="G148" s="197">
        <v>107.71899999999999</v>
      </c>
      <c r="H148" s="210">
        <v>14.551</v>
      </c>
      <c r="I148" s="189">
        <f t="shared" si="25"/>
        <v>4.3652999999999995</v>
      </c>
      <c r="J148" s="211">
        <v>4.3849999999999998</v>
      </c>
      <c r="K148" s="191">
        <v>1</v>
      </c>
      <c r="L148" s="192">
        <f>(G148+I148+J148*0.4+K148*2)*$P$5</f>
        <v>1466401.6732320001</v>
      </c>
      <c r="M148" s="191" t="s">
        <v>35</v>
      </c>
      <c r="N148" s="221"/>
      <c r="O148" s="192">
        <f>L148*0.8</f>
        <v>1173121.3385856</v>
      </c>
      <c r="P148" s="219"/>
      <c r="Q148" s="222"/>
      <c r="R148" s="36"/>
      <c r="S148" s="36"/>
      <c r="T148" s="36"/>
    </row>
    <row r="149" spans="1:20" ht="18" customHeight="1" thickTop="1" thickBot="1" x14ac:dyDescent="0.3">
      <c r="A149" s="185" t="s">
        <v>77</v>
      </c>
      <c r="B149" s="185">
        <v>103</v>
      </c>
      <c r="C149" s="225">
        <v>6</v>
      </c>
      <c r="D149" s="191" t="s">
        <v>115</v>
      </c>
      <c r="E149" s="191">
        <v>2</v>
      </c>
      <c r="F149" s="191">
        <v>5</v>
      </c>
      <c r="G149" s="197">
        <v>126.935</v>
      </c>
      <c r="H149" s="210">
        <v>22.989000000000001</v>
      </c>
      <c r="I149" s="189">
        <f t="shared" si="25"/>
        <v>6.8967000000000001</v>
      </c>
      <c r="J149" s="211">
        <v>4.9219999999999997</v>
      </c>
      <c r="K149" s="191">
        <v>1</v>
      </c>
      <c r="L149" s="192">
        <v>1740747.76</v>
      </c>
      <c r="M149" s="191" t="s">
        <v>35</v>
      </c>
      <c r="N149" s="221"/>
      <c r="O149" s="192">
        <f t="shared" si="26"/>
        <v>1440747.76</v>
      </c>
      <c r="P149" s="219"/>
      <c r="Q149" s="222"/>
      <c r="R149" s="36"/>
      <c r="S149" s="36"/>
      <c r="T149" s="36"/>
    </row>
    <row r="150" spans="1:20" ht="18" customHeight="1" thickTop="1" thickBot="1" x14ac:dyDescent="0.3">
      <c r="A150" s="49" t="s">
        <v>77</v>
      </c>
      <c r="B150" s="49">
        <v>103</v>
      </c>
      <c r="C150" s="51">
        <v>7</v>
      </c>
      <c r="D150" s="51" t="s">
        <v>60</v>
      </c>
      <c r="E150" s="51">
        <v>3</v>
      </c>
      <c r="F150" s="51">
        <v>6</v>
      </c>
      <c r="G150" s="97">
        <v>159.798</v>
      </c>
      <c r="H150" s="79">
        <v>117.65300000000001</v>
      </c>
      <c r="I150" s="84">
        <v>20.765000000000001</v>
      </c>
      <c r="J150" s="96">
        <v>4.91</v>
      </c>
      <c r="K150" s="51">
        <v>1</v>
      </c>
      <c r="L150" s="52">
        <v>2307839.2000000002</v>
      </c>
      <c r="M150" s="51" t="s">
        <v>83</v>
      </c>
      <c r="N150" s="61"/>
      <c r="O150" s="52">
        <f t="shared" si="26"/>
        <v>2007839.2000000002</v>
      </c>
      <c r="P150" s="57" t="s">
        <v>38</v>
      </c>
      <c r="Q150" s="60"/>
      <c r="R150" s="53" t="s">
        <v>37</v>
      </c>
      <c r="S150" s="53" t="s">
        <v>37</v>
      </c>
      <c r="T150" s="53" t="s">
        <v>37</v>
      </c>
    </row>
    <row r="151" spans="1:20" ht="17.45" customHeight="1" thickTop="1" thickBot="1" x14ac:dyDescent="0.3">
      <c r="A151" s="257" t="s">
        <v>135</v>
      </c>
      <c r="B151" s="258"/>
      <c r="C151" s="258"/>
      <c r="D151" s="258"/>
      <c r="E151" s="258"/>
      <c r="F151" s="258"/>
      <c r="G151" s="140">
        <v>125.14</v>
      </c>
      <c r="H151" s="139"/>
      <c r="I151" s="259" t="s">
        <v>136</v>
      </c>
      <c r="J151" s="258"/>
      <c r="K151" s="258"/>
      <c r="L151" s="141">
        <f>COUNTIF(L141:L150,"כן")/COUNT(C141:C150)</f>
        <v>0</v>
      </c>
      <c r="M151" s="144">
        <v>0.71430000000000005</v>
      </c>
      <c r="N151" s="17"/>
      <c r="O151" s="133"/>
      <c r="P151" s="3"/>
      <c r="Q151" s="3"/>
    </row>
    <row r="152" spans="1:20" ht="17.45" customHeight="1" x14ac:dyDescent="0.25">
      <c r="A152" s="28"/>
      <c r="B152" s="28"/>
      <c r="C152" s="29"/>
      <c r="D152" s="15"/>
      <c r="E152" s="15"/>
      <c r="F152" s="15"/>
      <c r="G152" s="14"/>
      <c r="H152" s="81"/>
      <c r="I152" s="81"/>
      <c r="J152" s="16"/>
      <c r="K152" s="16"/>
      <c r="L152" s="16"/>
      <c r="M152" s="17"/>
      <c r="N152" s="17"/>
      <c r="O152" s="17"/>
      <c r="P152" s="3"/>
      <c r="Q152" s="3"/>
    </row>
    <row r="153" spans="1:20" ht="17.45" customHeight="1" thickBot="1" x14ac:dyDescent="0.3">
      <c r="A153" s="15"/>
      <c r="B153" s="15"/>
      <c r="C153" s="15"/>
      <c r="D153" s="15"/>
      <c r="E153" s="15"/>
      <c r="F153" s="15"/>
      <c r="G153" s="14"/>
      <c r="H153" s="81"/>
      <c r="I153" s="81"/>
      <c r="J153" s="16"/>
      <c r="K153" s="16"/>
      <c r="L153" s="16"/>
      <c r="M153" s="17"/>
      <c r="N153" s="17"/>
      <c r="O153" s="86"/>
      <c r="P153" s="3"/>
      <c r="Q153" s="3"/>
    </row>
    <row r="154" spans="1:20" ht="18" customHeight="1" thickTop="1" thickBot="1" x14ac:dyDescent="0.3">
      <c r="A154" s="265" t="s">
        <v>39</v>
      </c>
      <c r="B154" s="265"/>
      <c r="C154" s="265"/>
      <c r="D154" s="265"/>
      <c r="E154" s="265"/>
      <c r="F154" s="265"/>
      <c r="G154" s="138">
        <f>SUMIF(M12:M150,"כן",G12:G150)</f>
        <v>11243.686000000005</v>
      </c>
      <c r="H154" s="81"/>
      <c r="I154" s="81"/>
      <c r="J154" s="32" t="s">
        <v>40</v>
      </c>
      <c r="K154" s="32"/>
      <c r="L154" s="33"/>
      <c r="M154" s="31">
        <f>COUNTIF(M12:M150,"כן")</f>
        <v>100</v>
      </c>
      <c r="N154" s="18"/>
      <c r="O154"/>
      <c r="P154"/>
      <c r="Q154"/>
    </row>
    <row r="155" spans="1:20" ht="17.45" customHeight="1" thickTop="1" thickBot="1" x14ac:dyDescent="0.3">
      <c r="A155" s="265" t="s">
        <v>41</v>
      </c>
      <c r="B155" s="265"/>
      <c r="C155" s="265"/>
      <c r="D155" s="265"/>
      <c r="E155" s="265"/>
      <c r="F155" s="265"/>
      <c r="G155" s="138">
        <f>SUM(G12:G150)/124</f>
        <v>134.5946935483872</v>
      </c>
      <c r="H155" s="81"/>
      <c r="I155" s="81"/>
      <c r="J155" s="32" t="s">
        <v>42</v>
      </c>
      <c r="K155" s="32"/>
      <c r="L155" s="33"/>
      <c r="M155" s="34">
        <f>COUNTIF(M12:M150,"כן")/COUNT(C12:C150)</f>
        <v>0.80645161290322576</v>
      </c>
      <c r="N155" s="19"/>
      <c r="O155"/>
      <c r="P155"/>
      <c r="Q155"/>
    </row>
    <row r="156" spans="1:20" ht="17.45" customHeight="1" thickTop="1" thickBot="1" x14ac:dyDescent="0.3">
      <c r="A156" s="265" t="s">
        <v>132</v>
      </c>
      <c r="B156" s="265"/>
      <c r="C156" s="265"/>
      <c r="D156" s="265"/>
      <c r="E156" s="265"/>
      <c r="F156" s="265"/>
      <c r="G156" s="138">
        <v>3655.87</v>
      </c>
      <c r="H156" s="81"/>
      <c r="I156" s="81"/>
      <c r="J156" s="3"/>
      <c r="K156" s="3"/>
      <c r="L156" s="3"/>
      <c r="M156" s="3"/>
      <c r="N156" s="3"/>
      <c r="O156"/>
      <c r="P156"/>
      <c r="Q156"/>
    </row>
    <row r="157" spans="1:20" ht="17.45" customHeight="1" thickTop="1" thickBot="1" x14ac:dyDescent="0.3">
      <c r="A157" s="265" t="s">
        <v>133</v>
      </c>
      <c r="B157" s="265"/>
      <c r="C157" s="265"/>
      <c r="D157" s="265"/>
      <c r="E157" s="265"/>
      <c r="F157" s="265"/>
      <c r="G157" s="138">
        <v>14899.55</v>
      </c>
      <c r="H157" s="134"/>
      <c r="I157" s="134"/>
      <c r="J157" s="135"/>
      <c r="K157" s="135"/>
      <c r="L157" s="135"/>
      <c r="M157" s="135"/>
      <c r="N157" s="135"/>
      <c r="O157"/>
      <c r="P157"/>
      <c r="Q157"/>
    </row>
    <row r="158" spans="1:20" ht="17.45" customHeight="1" thickTop="1" x14ac:dyDescent="0.2">
      <c r="A158" s="136"/>
      <c r="B158" s="136"/>
      <c r="C158" s="136"/>
      <c r="D158" s="136"/>
      <c r="E158" s="136"/>
      <c r="F158" s="136"/>
      <c r="G158" s="136"/>
      <c r="H158" s="137"/>
      <c r="I158" s="137"/>
      <c r="J158" s="136"/>
      <c r="K158" s="136"/>
      <c r="L158" s="136"/>
      <c r="M158" s="136"/>
      <c r="N158" s="136"/>
      <c r="O158" s="136"/>
      <c r="P158" s="136"/>
    </row>
    <row r="159" spans="1:20" ht="17.45" customHeight="1" x14ac:dyDescent="0.2">
      <c r="C159" s="21"/>
      <c r="D159" s="21"/>
      <c r="E159" s="20"/>
      <c r="F159" s="20"/>
      <c r="G159" s="20"/>
      <c r="H159" s="83"/>
      <c r="I159" s="83"/>
      <c r="J159" s="20"/>
      <c r="K159" s="20"/>
      <c r="L159" s="20"/>
      <c r="M159" s="20"/>
      <c r="N159"/>
      <c r="O159" s="20"/>
      <c r="P159" s="20"/>
    </row>
    <row r="160" spans="1:20" ht="17.45" customHeight="1" x14ac:dyDescent="0.2">
      <c r="A160" s="282" t="s">
        <v>43</v>
      </c>
      <c r="B160" s="282"/>
      <c r="C160" s="283"/>
      <c r="D160" s="283"/>
      <c r="E160" s="283"/>
      <c r="F160" s="283"/>
      <c r="G160" s="283"/>
      <c r="H160" s="284"/>
      <c r="I160" s="284"/>
      <c r="J160" s="283"/>
      <c r="K160" s="283"/>
      <c r="L160" s="283"/>
      <c r="M160" s="283"/>
      <c r="N160" s="283"/>
      <c r="O160" s="283"/>
      <c r="P160" s="283"/>
    </row>
    <row r="161" spans="1:16" ht="17.45" customHeight="1" x14ac:dyDescent="0.25">
      <c r="A161" s="266" t="s">
        <v>44</v>
      </c>
      <c r="B161" s="266"/>
      <c r="C161" s="267"/>
      <c r="D161" s="267"/>
      <c r="E161" s="267"/>
      <c r="F161" s="267"/>
      <c r="G161" s="267"/>
      <c r="H161" s="268"/>
      <c r="I161" s="268"/>
      <c r="J161" s="267"/>
      <c r="K161" s="267"/>
      <c r="L161" s="267"/>
      <c r="M161" s="267"/>
      <c r="N161" s="267"/>
      <c r="O161" s="267"/>
      <c r="P161" s="267"/>
    </row>
  </sheetData>
  <sheetProtection sort="0" autoFilter="0" pivotTables="0"/>
  <autoFilter ref="A11:T144" xr:uid="{00000000-0009-0000-0000-000000000000}">
    <filterColumn colId="12">
      <filters>
        <filter val="כן"/>
        <filter val="לא"/>
      </filters>
    </filterColumn>
  </autoFilter>
  <mergeCells count="51">
    <mergeCell ref="P5:Q5"/>
    <mergeCell ref="L5:O5"/>
    <mergeCell ref="L3:M3"/>
    <mergeCell ref="C3:D3"/>
    <mergeCell ref="C4:D4"/>
    <mergeCell ref="C5:D5"/>
    <mergeCell ref="H3:K3"/>
    <mergeCell ref="A157:F157"/>
    <mergeCell ref="A161:P161"/>
    <mergeCell ref="A154:F154"/>
    <mergeCell ref="A155:F155"/>
    <mergeCell ref="A1:P1"/>
    <mergeCell ref="G2:L2"/>
    <mergeCell ref="A9:C9"/>
    <mergeCell ref="E8:F8"/>
    <mergeCell ref="E7:F7"/>
    <mergeCell ref="E9:F9"/>
    <mergeCell ref="A160:P160"/>
    <mergeCell ref="A156:F156"/>
    <mergeCell ref="A21:F21"/>
    <mergeCell ref="I21:K21"/>
    <mergeCell ref="A33:F33"/>
    <mergeCell ref="I33:K33"/>
    <mergeCell ref="A43:F43"/>
    <mergeCell ref="I43:K43"/>
    <mergeCell ref="A53:F53"/>
    <mergeCell ref="I53:K53"/>
    <mergeCell ref="A63:F63"/>
    <mergeCell ref="I63:K63"/>
    <mergeCell ref="A71:F71"/>
    <mergeCell ref="I71:K71"/>
    <mergeCell ref="A79:F79"/>
    <mergeCell ref="I79:K79"/>
    <mergeCell ref="A87:F87"/>
    <mergeCell ref="I87:K87"/>
    <mergeCell ref="A95:F95"/>
    <mergeCell ref="I95:K95"/>
    <mergeCell ref="A103:F103"/>
    <mergeCell ref="I103:K103"/>
    <mergeCell ref="A111:F111"/>
    <mergeCell ref="I111:K111"/>
    <mergeCell ref="A143:F143"/>
    <mergeCell ref="I143:K143"/>
    <mergeCell ref="A151:F151"/>
    <mergeCell ref="I151:K151"/>
    <mergeCell ref="A119:F119"/>
    <mergeCell ref="I119:K119"/>
    <mergeCell ref="A127:F127"/>
    <mergeCell ref="I127:K127"/>
    <mergeCell ref="A135:F135"/>
    <mergeCell ref="I135:K135"/>
  </mergeCells>
  <phoneticPr fontId="13" type="noConversion"/>
  <conditionalFormatting sqref="P1:P2 P4 P6:P20 P22:P32 P34:P42 P44:P52 P54:P62 P64:P70 P72:P78 P80:P86 P88:P94 P96:P110 P112:P118 P120:P126 P128:P134 P136:P142 P144:P153 P158:P166 P175:P1048576">
    <cfRule type="containsText" dxfId="3" priority="47" operator="containsText" text="גדול">
      <formula>NOT(ISERROR(SEARCH("גדול",P1)))</formula>
    </cfRule>
    <cfRule type="containsText" dxfId="2" priority="48" operator="containsText" text="קטן מהמינימום הנדרש במכרז">
      <formula>NOT(ISERROR(SEARCH("קטן מהמינימום הנדרש במכרז",P1)))</formula>
    </cfRule>
  </conditionalFormatting>
  <pageMargins left="0.55118110236220474" right="0.82677165354330717" top="0.15748031496062992" bottom="0.15748031496062992" header="0.31496062992125984" footer="0.31496062992125984"/>
  <pageSetup paperSize="8" scale="1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151"/>
  <sheetViews>
    <sheetView rightToLeft="1" tabSelected="1" view="pageBreakPreview" topLeftCell="A80" zoomScale="75" zoomScaleNormal="100" zoomScaleSheetLayoutView="75" workbookViewId="0">
      <selection activeCell="C122" sqref="C122"/>
    </sheetView>
  </sheetViews>
  <sheetFormatPr defaultRowHeight="14.25" x14ac:dyDescent="0.2"/>
  <cols>
    <col min="1" max="1" width="10.125" customWidth="1"/>
    <col min="2" max="2" width="9.375" customWidth="1"/>
    <col min="3" max="3" width="9.125" hidden="1" customWidth="1"/>
    <col min="4" max="4" width="7.5" customWidth="1"/>
    <col min="5" max="5" width="8.875" customWidth="1"/>
    <col min="6" max="6" width="11.25" customWidth="1"/>
    <col min="7" max="7" width="10.625" customWidth="1"/>
    <col min="8" max="8" width="7.375" customWidth="1"/>
    <col min="9" max="10" width="7.75" customWidth="1"/>
    <col min="11" max="11" width="26.375" customWidth="1"/>
    <col min="18" max="20" width="0" hidden="1" customWidth="1"/>
  </cols>
  <sheetData>
    <row r="3" spans="1:17" ht="15.75" x14ac:dyDescent="0.2">
      <c r="A3" s="73" t="s">
        <v>131</v>
      </c>
    </row>
    <row r="4" spans="1:17" ht="18" x14ac:dyDescent="0.25">
      <c r="G4" s="297" t="str">
        <f>_xlfn.CONCAT("מתחם"," ",'[2]מחיר למשתכן'!B4)</f>
        <v xml:space="preserve">מתחם </v>
      </c>
      <c r="H4" s="297"/>
    </row>
    <row r="7" spans="1:17" ht="15" thickBot="1" x14ac:dyDescent="0.25"/>
    <row r="8" spans="1:17" ht="61.5" thickTop="1" thickBot="1" x14ac:dyDescent="0.25">
      <c r="A8" s="116" t="s">
        <v>45</v>
      </c>
      <c r="B8" s="116" t="s">
        <v>46</v>
      </c>
      <c r="C8" s="116"/>
      <c r="D8" s="116" t="s">
        <v>47</v>
      </c>
      <c r="E8" s="116" t="s">
        <v>48</v>
      </c>
      <c r="F8" s="116" t="s">
        <v>49</v>
      </c>
      <c r="G8" s="116" t="s">
        <v>50</v>
      </c>
      <c r="H8" s="116" t="s">
        <v>51</v>
      </c>
      <c r="I8" s="116" t="s">
        <v>52</v>
      </c>
      <c r="J8" s="116" t="s">
        <v>53</v>
      </c>
      <c r="K8" s="116" t="s">
        <v>32</v>
      </c>
    </row>
    <row r="9" spans="1:17" ht="17.25" thickTop="1" thickBot="1" x14ac:dyDescent="0.3">
      <c r="A9" s="117" t="s">
        <v>84</v>
      </c>
      <c r="B9" s="118">
        <f t="shared" ref="B9:B24" si="0">F9/$I$31</f>
        <v>1.1481481481481481</v>
      </c>
      <c r="C9" s="118" t="e">
        <f>G9/#REF!</f>
        <v>#REF!</v>
      </c>
      <c r="D9" s="119">
        <f t="shared" ref="D9:D14" si="1">$I$31*0.75</f>
        <v>0.14516129032258063</v>
      </c>
      <c r="E9" s="119">
        <f t="shared" ref="E9:E14" si="2">$I$31*1.25</f>
        <v>0.24193548387096775</v>
      </c>
      <c r="F9" s="119">
        <f t="shared" ref="F9:F24" si="3">I9/J9</f>
        <v>0.22222222222222221</v>
      </c>
      <c r="G9" s="119">
        <f t="shared" ref="G9:G24" si="4">H9/J9</f>
        <v>0.77777777777777779</v>
      </c>
      <c r="H9" s="120">
        <f>J9-I9</f>
        <v>7</v>
      </c>
      <c r="I9" s="121">
        <v>2</v>
      </c>
      <c r="J9" s="122">
        <v>9</v>
      </c>
      <c r="K9" s="123" t="str">
        <f t="shared" ref="K9:K24" si="5">IF(F9/$I$31&gt;1.25,"יחס דירות גדול מהמותר במכרז",IF(F9/$I$31&lt;0.75,"יחס דירות קטן מהמותר במכרז","יחס דירות תקין"))</f>
        <v>יחס דירות תקין</v>
      </c>
    </row>
    <row r="10" spans="1:17" ht="17.25" thickTop="1" thickBot="1" x14ac:dyDescent="0.3">
      <c r="A10" s="117" t="s">
        <v>85</v>
      </c>
      <c r="B10" s="118">
        <f t="shared" si="0"/>
        <v>0.93939393939393945</v>
      </c>
      <c r="C10" s="123"/>
      <c r="D10" s="119">
        <f t="shared" si="1"/>
        <v>0.14516129032258063</v>
      </c>
      <c r="E10" s="119">
        <f t="shared" si="2"/>
        <v>0.24193548387096775</v>
      </c>
      <c r="F10" s="124">
        <f t="shared" si="3"/>
        <v>0.18181818181818182</v>
      </c>
      <c r="G10" s="119">
        <f t="shared" si="4"/>
        <v>0.81818181818181823</v>
      </c>
      <c r="H10" s="120">
        <f t="shared" ref="H10:H24" si="6">J10-I10</f>
        <v>9</v>
      </c>
      <c r="I10" s="121">
        <v>2</v>
      </c>
      <c r="J10" s="122">
        <v>11</v>
      </c>
      <c r="K10" s="123" t="str">
        <f t="shared" si="5"/>
        <v>יחס דירות תקין</v>
      </c>
    </row>
    <row r="11" spans="1:17" ht="17.25" thickTop="1" thickBot="1" x14ac:dyDescent="0.3">
      <c r="A11" s="117" t="s">
        <v>86</v>
      </c>
      <c r="B11" s="118">
        <f t="shared" si="0"/>
        <v>0.57407407407407407</v>
      </c>
      <c r="C11" s="123"/>
      <c r="D11" s="119">
        <f t="shared" si="1"/>
        <v>0.14516129032258063</v>
      </c>
      <c r="E11" s="119">
        <f t="shared" si="2"/>
        <v>0.24193548387096775</v>
      </c>
      <c r="F11" s="119">
        <f t="shared" si="3"/>
        <v>0.1111111111111111</v>
      </c>
      <c r="G11" s="119">
        <f t="shared" si="4"/>
        <v>0.88888888888888884</v>
      </c>
      <c r="H11" s="120">
        <f t="shared" si="6"/>
        <v>8</v>
      </c>
      <c r="I11" s="121">
        <v>1</v>
      </c>
      <c r="J11" s="122">
        <v>9</v>
      </c>
      <c r="K11" s="123" t="str">
        <f t="shared" si="5"/>
        <v>יחס דירות קטן מהמותר במכרז</v>
      </c>
    </row>
    <row r="12" spans="1:17" ht="17.25" thickTop="1" thickBot="1" x14ac:dyDescent="0.3">
      <c r="A12" s="198" t="s">
        <v>87</v>
      </c>
      <c r="B12" s="199">
        <f t="shared" si="0"/>
        <v>1.1481481481481481</v>
      </c>
      <c r="C12" s="200"/>
      <c r="D12" s="201">
        <f t="shared" si="1"/>
        <v>0.14516129032258063</v>
      </c>
      <c r="E12" s="201">
        <f t="shared" si="2"/>
        <v>0.24193548387096775</v>
      </c>
      <c r="F12" s="201">
        <f t="shared" si="3"/>
        <v>0.22222222222222221</v>
      </c>
      <c r="G12" s="201">
        <f t="shared" si="4"/>
        <v>0.77777777777777779</v>
      </c>
      <c r="H12" s="202">
        <f t="shared" si="6"/>
        <v>7</v>
      </c>
      <c r="I12" s="203">
        <v>2</v>
      </c>
      <c r="J12" s="204">
        <v>9</v>
      </c>
      <c r="K12" s="200" t="str">
        <f t="shared" si="5"/>
        <v>יחס דירות תקין</v>
      </c>
      <c r="L12" s="193"/>
      <c r="M12" s="193"/>
      <c r="N12" s="193"/>
      <c r="O12" s="193"/>
      <c r="P12" s="193"/>
      <c r="Q12" s="193"/>
    </row>
    <row r="13" spans="1:17" ht="17.25" thickTop="1" thickBot="1" x14ac:dyDescent="0.3">
      <c r="A13" s="117" t="s">
        <v>88</v>
      </c>
      <c r="B13" s="118">
        <f t="shared" si="0"/>
        <v>1.1481481481481481</v>
      </c>
      <c r="C13" s="123"/>
      <c r="D13" s="119">
        <f t="shared" si="1"/>
        <v>0.14516129032258063</v>
      </c>
      <c r="E13" s="119">
        <f t="shared" si="2"/>
        <v>0.24193548387096775</v>
      </c>
      <c r="F13" s="119">
        <f t="shared" si="3"/>
        <v>0.22222222222222221</v>
      </c>
      <c r="G13" s="119">
        <f t="shared" si="4"/>
        <v>0.77777777777777779</v>
      </c>
      <c r="H13" s="120">
        <f t="shared" si="6"/>
        <v>7</v>
      </c>
      <c r="I13" s="121">
        <v>2</v>
      </c>
      <c r="J13" s="122">
        <v>9</v>
      </c>
      <c r="K13" s="123" t="str">
        <f t="shared" si="5"/>
        <v>יחס דירות תקין</v>
      </c>
    </row>
    <row r="14" spans="1:17" ht="17.25" thickTop="1" thickBot="1" x14ac:dyDescent="0.3">
      <c r="A14" s="198" t="s">
        <v>89</v>
      </c>
      <c r="B14" s="199">
        <f t="shared" si="0"/>
        <v>1.4761904761904761</v>
      </c>
      <c r="C14" s="200"/>
      <c r="D14" s="201">
        <f t="shared" si="1"/>
        <v>0.14516129032258063</v>
      </c>
      <c r="E14" s="201">
        <f t="shared" si="2"/>
        <v>0.24193548387096775</v>
      </c>
      <c r="F14" s="201">
        <f t="shared" si="3"/>
        <v>0.2857142857142857</v>
      </c>
      <c r="G14" s="201">
        <f t="shared" si="4"/>
        <v>0.7142857142857143</v>
      </c>
      <c r="H14" s="202">
        <f t="shared" si="6"/>
        <v>5</v>
      </c>
      <c r="I14" s="203">
        <v>2</v>
      </c>
      <c r="J14" s="204">
        <v>7</v>
      </c>
      <c r="K14" s="200" t="str">
        <f t="shared" si="5"/>
        <v>יחס דירות גדול מהמותר במכרז</v>
      </c>
      <c r="L14" s="193"/>
      <c r="M14" s="193"/>
      <c r="N14" s="193"/>
      <c r="O14" s="193"/>
      <c r="P14" s="193"/>
      <c r="Q14" s="193"/>
    </row>
    <row r="15" spans="1:17" ht="17.25" thickTop="1" thickBot="1" x14ac:dyDescent="0.25">
      <c r="A15" s="207" t="s">
        <v>90</v>
      </c>
      <c r="B15" s="199">
        <f t="shared" si="0"/>
        <v>1.4761904761904761</v>
      </c>
      <c r="C15" s="200"/>
      <c r="D15" s="201">
        <f t="shared" ref="D15:D24" si="7">$I$31*0.75</f>
        <v>0.14516129032258063</v>
      </c>
      <c r="E15" s="201">
        <f t="shared" ref="E15:E24" si="8">$I$31*1.25</f>
        <v>0.24193548387096775</v>
      </c>
      <c r="F15" s="201">
        <f t="shared" si="3"/>
        <v>0.2857142857142857</v>
      </c>
      <c r="G15" s="201">
        <f t="shared" si="4"/>
        <v>0.7142857142857143</v>
      </c>
      <c r="H15" s="202">
        <f t="shared" si="6"/>
        <v>5</v>
      </c>
      <c r="I15" s="203">
        <v>2</v>
      </c>
      <c r="J15" s="204">
        <v>7</v>
      </c>
      <c r="K15" s="200" t="str">
        <f t="shared" si="5"/>
        <v>יחס דירות גדול מהמותר במכרז</v>
      </c>
      <c r="L15" s="193"/>
      <c r="M15" s="193"/>
      <c r="N15" s="193"/>
      <c r="O15" s="193"/>
      <c r="P15" s="193"/>
      <c r="Q15" s="193"/>
    </row>
    <row r="16" spans="1:17" ht="17.25" thickTop="1" thickBot="1" x14ac:dyDescent="0.25">
      <c r="A16" s="207" t="s">
        <v>91</v>
      </c>
      <c r="B16" s="199">
        <f t="shared" si="0"/>
        <v>1.4761904761904761</v>
      </c>
      <c r="C16" s="200"/>
      <c r="D16" s="201">
        <f t="shared" si="7"/>
        <v>0.14516129032258063</v>
      </c>
      <c r="E16" s="201">
        <f t="shared" si="8"/>
        <v>0.24193548387096775</v>
      </c>
      <c r="F16" s="201">
        <f t="shared" si="3"/>
        <v>0.2857142857142857</v>
      </c>
      <c r="G16" s="201">
        <f t="shared" si="4"/>
        <v>0.7142857142857143</v>
      </c>
      <c r="H16" s="202">
        <f t="shared" si="6"/>
        <v>5</v>
      </c>
      <c r="I16" s="203">
        <v>2</v>
      </c>
      <c r="J16" s="204">
        <v>7</v>
      </c>
      <c r="K16" s="200" t="str">
        <f t="shared" si="5"/>
        <v>יחס דירות גדול מהמותר במכרז</v>
      </c>
      <c r="L16" s="193"/>
      <c r="M16" s="193"/>
      <c r="N16" s="193"/>
      <c r="O16" s="193"/>
      <c r="P16" s="193"/>
      <c r="Q16" s="193"/>
    </row>
    <row r="17" spans="1:17" ht="17.25" thickTop="1" thickBot="1" x14ac:dyDescent="0.25">
      <c r="A17" s="207" t="s">
        <v>92</v>
      </c>
      <c r="B17" s="199">
        <f t="shared" si="0"/>
        <v>0.73809523809523803</v>
      </c>
      <c r="C17" s="200"/>
      <c r="D17" s="201">
        <f t="shared" si="7"/>
        <v>0.14516129032258063</v>
      </c>
      <c r="E17" s="201">
        <f t="shared" si="8"/>
        <v>0.24193548387096775</v>
      </c>
      <c r="F17" s="201">
        <f t="shared" si="3"/>
        <v>0.14285714285714285</v>
      </c>
      <c r="G17" s="201">
        <f t="shared" si="4"/>
        <v>0.8571428571428571</v>
      </c>
      <c r="H17" s="202">
        <f t="shared" si="6"/>
        <v>6</v>
      </c>
      <c r="I17" s="203">
        <v>1</v>
      </c>
      <c r="J17" s="204">
        <v>7</v>
      </c>
      <c r="K17" s="200" t="str">
        <f t="shared" si="5"/>
        <v>יחס דירות קטן מהמותר במכרז</v>
      </c>
      <c r="L17" s="193"/>
      <c r="M17" s="193"/>
      <c r="N17" s="193"/>
      <c r="O17" s="193"/>
      <c r="P17" s="193"/>
      <c r="Q17" s="193"/>
    </row>
    <row r="18" spans="1:17" ht="17.25" thickTop="1" thickBot="1" x14ac:dyDescent="0.25">
      <c r="A18" s="207" t="s">
        <v>93</v>
      </c>
      <c r="B18" s="199">
        <f t="shared" si="0"/>
        <v>0.73809523809523803</v>
      </c>
      <c r="C18" s="200"/>
      <c r="D18" s="201">
        <f t="shared" si="7"/>
        <v>0.14516129032258063</v>
      </c>
      <c r="E18" s="201">
        <f t="shared" si="8"/>
        <v>0.24193548387096775</v>
      </c>
      <c r="F18" s="201">
        <f t="shared" si="3"/>
        <v>0.14285714285714285</v>
      </c>
      <c r="G18" s="201">
        <f t="shared" si="4"/>
        <v>0.8571428571428571</v>
      </c>
      <c r="H18" s="202">
        <f t="shared" si="6"/>
        <v>6</v>
      </c>
      <c r="I18" s="203">
        <v>1</v>
      </c>
      <c r="J18" s="204">
        <v>7</v>
      </c>
      <c r="K18" s="200" t="str">
        <f t="shared" si="5"/>
        <v>יחס דירות קטן מהמותר במכרז</v>
      </c>
      <c r="L18" s="193"/>
      <c r="M18" s="193"/>
      <c r="N18" s="193"/>
      <c r="O18" s="193"/>
      <c r="P18" s="193"/>
      <c r="Q18" s="193"/>
    </row>
    <row r="19" spans="1:17" ht="17.25" thickTop="1" thickBot="1" x14ac:dyDescent="0.25">
      <c r="A19" s="207" t="s">
        <v>94</v>
      </c>
      <c r="B19" s="199">
        <f t="shared" si="0"/>
        <v>0.73809523809523803</v>
      </c>
      <c r="C19" s="200"/>
      <c r="D19" s="201">
        <f t="shared" si="7"/>
        <v>0.14516129032258063</v>
      </c>
      <c r="E19" s="201">
        <f t="shared" si="8"/>
        <v>0.24193548387096775</v>
      </c>
      <c r="F19" s="201">
        <f t="shared" si="3"/>
        <v>0.14285714285714285</v>
      </c>
      <c r="G19" s="201">
        <f t="shared" si="4"/>
        <v>0.8571428571428571</v>
      </c>
      <c r="H19" s="202">
        <f t="shared" si="6"/>
        <v>6</v>
      </c>
      <c r="I19" s="203">
        <v>1</v>
      </c>
      <c r="J19" s="204">
        <v>7</v>
      </c>
      <c r="K19" s="200" t="str">
        <f t="shared" si="5"/>
        <v>יחס דירות קטן מהמותר במכרז</v>
      </c>
      <c r="L19" s="193"/>
      <c r="M19" s="193"/>
      <c r="N19" s="193"/>
      <c r="O19" s="193"/>
      <c r="P19" s="193"/>
      <c r="Q19" s="193"/>
    </row>
    <row r="20" spans="1:17" ht="17.25" thickTop="1" thickBot="1" x14ac:dyDescent="0.25">
      <c r="A20" s="125" t="s">
        <v>95</v>
      </c>
      <c r="B20" s="118">
        <f t="shared" si="0"/>
        <v>0.73809523809523803</v>
      </c>
      <c r="C20" s="123"/>
      <c r="D20" s="119">
        <f t="shared" si="7"/>
        <v>0.14516129032258063</v>
      </c>
      <c r="E20" s="119">
        <f t="shared" si="8"/>
        <v>0.24193548387096775</v>
      </c>
      <c r="F20" s="119">
        <f t="shared" si="3"/>
        <v>0.14285714285714285</v>
      </c>
      <c r="G20" s="119">
        <f t="shared" si="4"/>
        <v>0.8571428571428571</v>
      </c>
      <c r="H20" s="120">
        <f t="shared" si="6"/>
        <v>6</v>
      </c>
      <c r="I20" s="121">
        <v>1</v>
      </c>
      <c r="J20" s="122">
        <v>7</v>
      </c>
      <c r="K20" s="123" t="str">
        <f t="shared" si="5"/>
        <v>יחס דירות קטן מהמותר במכרז</v>
      </c>
    </row>
    <row r="21" spans="1:17" ht="17.25" thickTop="1" thickBot="1" x14ac:dyDescent="0.25">
      <c r="A21" s="125" t="s">
        <v>96</v>
      </c>
      <c r="B21" s="118">
        <f t="shared" si="0"/>
        <v>0.73809523809523803</v>
      </c>
      <c r="C21" s="123"/>
      <c r="D21" s="119">
        <f t="shared" si="7"/>
        <v>0.14516129032258063</v>
      </c>
      <c r="E21" s="119">
        <f t="shared" si="8"/>
        <v>0.24193548387096775</v>
      </c>
      <c r="F21" s="119">
        <f t="shared" si="3"/>
        <v>0.14285714285714285</v>
      </c>
      <c r="G21" s="119">
        <f t="shared" si="4"/>
        <v>0.8571428571428571</v>
      </c>
      <c r="H21" s="120">
        <f t="shared" si="6"/>
        <v>6</v>
      </c>
      <c r="I21" s="121">
        <v>1</v>
      </c>
      <c r="J21" s="122">
        <v>7</v>
      </c>
      <c r="K21" s="123" t="str">
        <f t="shared" si="5"/>
        <v>יחס דירות קטן מהמותר במכרז</v>
      </c>
    </row>
    <row r="22" spans="1:17" ht="17.25" thickTop="1" thickBot="1" x14ac:dyDescent="0.25">
      <c r="A22" s="125" t="s">
        <v>97</v>
      </c>
      <c r="B22" s="118">
        <f t="shared" si="0"/>
        <v>0.73809523809523803</v>
      </c>
      <c r="C22" s="123"/>
      <c r="D22" s="119">
        <f t="shared" si="7"/>
        <v>0.14516129032258063</v>
      </c>
      <c r="E22" s="119">
        <f t="shared" si="8"/>
        <v>0.24193548387096775</v>
      </c>
      <c r="F22" s="119">
        <f t="shared" si="3"/>
        <v>0.14285714285714285</v>
      </c>
      <c r="G22" s="119">
        <f t="shared" si="4"/>
        <v>0.8571428571428571</v>
      </c>
      <c r="H22" s="120">
        <f t="shared" si="6"/>
        <v>6</v>
      </c>
      <c r="I22" s="121">
        <v>1</v>
      </c>
      <c r="J22" s="122">
        <v>7</v>
      </c>
      <c r="K22" s="123" t="str">
        <f t="shared" si="5"/>
        <v>יחס דירות קטן מהמותר במכרז</v>
      </c>
    </row>
    <row r="23" spans="1:17" ht="17.25" thickTop="1" thickBot="1" x14ac:dyDescent="0.25">
      <c r="A23" s="207" t="s">
        <v>98</v>
      </c>
      <c r="B23" s="199">
        <f t="shared" si="0"/>
        <v>0.73809523809523803</v>
      </c>
      <c r="C23" s="200"/>
      <c r="D23" s="201">
        <f t="shared" si="7"/>
        <v>0.14516129032258063</v>
      </c>
      <c r="E23" s="201">
        <f t="shared" si="8"/>
        <v>0.24193548387096775</v>
      </c>
      <c r="F23" s="201">
        <f t="shared" si="3"/>
        <v>0.14285714285714285</v>
      </c>
      <c r="G23" s="201">
        <f t="shared" si="4"/>
        <v>0.8571428571428571</v>
      </c>
      <c r="H23" s="202">
        <f t="shared" si="6"/>
        <v>6</v>
      </c>
      <c r="I23" s="203">
        <v>1</v>
      </c>
      <c r="J23" s="204">
        <v>7</v>
      </c>
      <c r="K23" s="200" t="str">
        <f t="shared" si="5"/>
        <v>יחס דירות קטן מהמותר במכרז</v>
      </c>
      <c r="L23" s="193"/>
      <c r="M23" s="193"/>
      <c r="N23" s="193"/>
      <c r="O23" s="193"/>
      <c r="P23" s="193"/>
      <c r="Q23" s="193"/>
    </row>
    <row r="24" spans="1:17" ht="17.25" thickTop="1" thickBot="1" x14ac:dyDescent="0.25">
      <c r="A24" s="207" t="s">
        <v>99</v>
      </c>
      <c r="B24" s="199">
        <f t="shared" si="0"/>
        <v>1.4761904761904761</v>
      </c>
      <c r="C24" s="200"/>
      <c r="D24" s="201">
        <f t="shared" si="7"/>
        <v>0.14516129032258063</v>
      </c>
      <c r="E24" s="201">
        <f t="shared" si="8"/>
        <v>0.24193548387096775</v>
      </c>
      <c r="F24" s="201">
        <f t="shared" si="3"/>
        <v>0.2857142857142857</v>
      </c>
      <c r="G24" s="201">
        <f t="shared" si="4"/>
        <v>0.7142857142857143</v>
      </c>
      <c r="H24" s="202">
        <f t="shared" si="6"/>
        <v>5</v>
      </c>
      <c r="I24" s="203">
        <v>2</v>
      </c>
      <c r="J24" s="204">
        <v>7</v>
      </c>
      <c r="K24" s="200" t="str">
        <f t="shared" si="5"/>
        <v>יחס דירות גדול מהמותר במכרז</v>
      </c>
      <c r="L24" s="193"/>
      <c r="M24" s="193"/>
      <c r="N24" s="193"/>
      <c r="O24" s="193"/>
      <c r="P24" s="193"/>
      <c r="Q24" s="193"/>
    </row>
    <row r="25" spans="1:17" ht="19.5" thickTop="1" thickBot="1" x14ac:dyDescent="0.3">
      <c r="A25" s="193"/>
      <c r="B25" s="193"/>
      <c r="C25" s="193"/>
      <c r="D25" s="193"/>
      <c r="E25" s="193"/>
      <c r="F25" s="193"/>
      <c r="G25" s="194" t="s">
        <v>2</v>
      </c>
      <c r="H25" s="195">
        <f>SUM(H9:H24)</f>
        <v>100</v>
      </c>
      <c r="I25" s="196">
        <f>SUM(I9:I24)</f>
        <v>24</v>
      </c>
      <c r="J25" s="195">
        <f>SUM(J9:J24)</f>
        <v>124</v>
      </c>
      <c r="K25" s="193"/>
      <c r="L25" s="193"/>
      <c r="M25" s="193"/>
      <c r="N25" s="193"/>
      <c r="O25" s="193"/>
      <c r="P25" s="193"/>
      <c r="Q25" s="193"/>
    </row>
    <row r="26" spans="1:17" ht="15" thickTop="1" x14ac:dyDescent="0.2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</row>
    <row r="27" spans="1:17" x14ac:dyDescent="0.2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</row>
    <row r="28" spans="1:17" x14ac:dyDescent="0.2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</row>
    <row r="29" spans="1:17" x14ac:dyDescent="0.2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</row>
    <row r="30" spans="1:17" ht="15" thickBot="1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</row>
    <row r="31" spans="1:17" ht="16.5" thickTop="1" thickBot="1" x14ac:dyDescent="0.3">
      <c r="A31" s="193"/>
      <c r="B31" s="193"/>
      <c r="C31" s="193"/>
      <c r="D31" s="193"/>
      <c r="E31" s="193"/>
      <c r="F31" s="298" t="s">
        <v>54</v>
      </c>
      <c r="G31" s="298"/>
      <c r="H31" s="298"/>
      <c r="I31" s="205">
        <f>I25/J25</f>
        <v>0.19354838709677419</v>
      </c>
      <c r="J31" s="193"/>
      <c r="K31" s="193"/>
      <c r="L31" s="193"/>
      <c r="M31" s="193"/>
      <c r="N31" s="193"/>
      <c r="O31" s="193"/>
      <c r="P31" s="193"/>
      <c r="Q31" s="193"/>
    </row>
    <row r="32" spans="1:17" ht="15.75" thickTop="1" x14ac:dyDescent="0.25">
      <c r="D32" s="1"/>
    </row>
    <row r="34" spans="1:17" x14ac:dyDescent="0.2">
      <c r="A34" s="159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</row>
    <row r="35" spans="1:17" x14ac:dyDescent="0.2">
      <c r="A35" s="193"/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</row>
    <row r="36" spans="1:17" x14ac:dyDescent="0.2">
      <c r="A36" s="193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</row>
    <row r="37" spans="1:17" ht="18" x14ac:dyDescent="0.25">
      <c r="A37" s="193"/>
      <c r="B37" s="193"/>
      <c r="C37" s="226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</row>
    <row r="38" spans="1:17" x14ac:dyDescent="0.2">
      <c r="A38" s="193"/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</row>
    <row r="39" spans="1:17" x14ac:dyDescent="0.2">
      <c r="A39" s="193"/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</row>
    <row r="40" spans="1:17" x14ac:dyDescent="0.2">
      <c r="A40" s="193"/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</row>
    <row r="41" spans="1:17" ht="18" x14ac:dyDescent="0.25">
      <c r="A41" s="193"/>
      <c r="B41" s="193"/>
      <c r="C41" s="226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</row>
    <row r="42" spans="1:17" x14ac:dyDescent="0.2">
      <c r="A42" s="238"/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</row>
    <row r="43" spans="1:17" x14ac:dyDescent="0.2">
      <c r="A43" s="159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</row>
    <row r="44" spans="1:17" x14ac:dyDescent="0.2">
      <c r="A44" s="193"/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</row>
    <row r="45" spans="1:17" x14ac:dyDescent="0.2">
      <c r="A45" s="179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</row>
    <row r="46" spans="1:17" x14ac:dyDescent="0.2">
      <c r="A46" s="193"/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1:17" ht="18" x14ac:dyDescent="0.25">
      <c r="A47" s="179"/>
      <c r="B47" s="179"/>
      <c r="C47" s="182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</row>
    <row r="48" spans="1:17" x14ac:dyDescent="0.2">
      <c r="A48" s="193"/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</row>
    <row r="49" spans="1:17" x14ac:dyDescent="0.2">
      <c r="A49" s="193"/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1:17" x14ac:dyDescent="0.2">
      <c r="A50" s="193"/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</row>
    <row r="51" spans="1:17" x14ac:dyDescent="0.2">
      <c r="A51" s="193"/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</row>
    <row r="55" spans="1:17" x14ac:dyDescent="0.2">
      <c r="A55" s="193"/>
      <c r="B55" s="193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</row>
    <row r="56" spans="1:17" ht="18" x14ac:dyDescent="0.25">
      <c r="A56" s="193"/>
      <c r="B56" s="193"/>
      <c r="C56" s="226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</row>
    <row r="57" spans="1:17" x14ac:dyDescent="0.2">
      <c r="A57" s="193"/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</row>
    <row r="58" spans="1:17" x14ac:dyDescent="0.2">
      <c r="A58" s="193"/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</row>
    <row r="59" spans="1:17" x14ac:dyDescent="0.2">
      <c r="A59" s="193"/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</row>
    <row r="60" spans="1:17" x14ac:dyDescent="0.2">
      <c r="A60" s="193"/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</row>
    <row r="61" spans="1:17" x14ac:dyDescent="0.2">
      <c r="A61" s="193"/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</row>
    <row r="63" spans="1:17" x14ac:dyDescent="0.2">
      <c r="G63">
        <v>122.62</v>
      </c>
    </row>
    <row r="65" spans="1:17" x14ac:dyDescent="0.2">
      <c r="A65" s="159"/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</row>
    <row r="66" spans="1:17" ht="18" x14ac:dyDescent="0.25">
      <c r="A66" s="193"/>
      <c r="B66" s="193"/>
      <c r="C66" s="229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</row>
    <row r="67" spans="1:17" ht="18" x14ac:dyDescent="0.25">
      <c r="A67" s="159"/>
      <c r="B67" s="159"/>
      <c r="C67" s="228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</row>
    <row r="68" spans="1:17" x14ac:dyDescent="0.2">
      <c r="A68" s="193"/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</row>
    <row r="69" spans="1:17" ht="18" x14ac:dyDescent="0.25">
      <c r="A69" s="159"/>
      <c r="B69" s="159"/>
      <c r="C69" s="228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</row>
    <row r="71" spans="1:17" x14ac:dyDescent="0.2">
      <c r="G71">
        <v>119.87</v>
      </c>
      <c r="M71">
        <v>0.71430000000000005</v>
      </c>
    </row>
    <row r="73" spans="1:17" x14ac:dyDescent="0.2">
      <c r="A73" s="193"/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</row>
    <row r="74" spans="1:17" ht="18" x14ac:dyDescent="0.25">
      <c r="A74" s="159"/>
      <c r="B74" s="159"/>
      <c r="C74" s="228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</row>
    <row r="75" spans="1:17" ht="18" x14ac:dyDescent="0.25">
      <c r="A75" s="193"/>
      <c r="B75" s="193"/>
      <c r="C75" s="229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</row>
    <row r="76" spans="1:17" x14ac:dyDescent="0.2">
      <c r="A76" s="193"/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</row>
    <row r="77" spans="1:17" x14ac:dyDescent="0.2">
      <c r="A77" s="193"/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</row>
    <row r="79" spans="1:17" x14ac:dyDescent="0.2">
      <c r="A79" s="148"/>
      <c r="B79" s="148"/>
      <c r="C79" s="148"/>
      <c r="D79" s="148"/>
      <c r="E79" s="148"/>
      <c r="F79" s="148"/>
      <c r="G79" s="148">
        <v>115.15</v>
      </c>
      <c r="H79" s="148"/>
      <c r="I79" s="148"/>
      <c r="J79" s="148"/>
      <c r="K79" s="148"/>
      <c r="L79" s="148"/>
      <c r="M79" s="149">
        <v>0.71430000000000005</v>
      </c>
    </row>
    <row r="81" spans="1:17" ht="18" x14ac:dyDescent="0.25">
      <c r="A81" s="193"/>
      <c r="B81" s="193"/>
      <c r="C81" s="229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</row>
    <row r="82" spans="1:17" x14ac:dyDescent="0.2">
      <c r="A82" s="179"/>
      <c r="B82" s="179"/>
      <c r="C82" s="247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</row>
    <row r="83" spans="1:17" x14ac:dyDescent="0.2">
      <c r="A83" s="193"/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</row>
    <row r="84" spans="1:17" x14ac:dyDescent="0.2">
      <c r="A84" s="193"/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</row>
    <row r="85" spans="1:17" x14ac:dyDescent="0.2">
      <c r="A85" s="159"/>
      <c r="B85" s="159"/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</row>
    <row r="87" spans="1:17" x14ac:dyDescent="0.2">
      <c r="A87" s="148"/>
      <c r="B87" s="148"/>
      <c r="C87" s="148"/>
      <c r="D87" s="148"/>
      <c r="E87" s="148"/>
      <c r="F87" s="148"/>
      <c r="G87" s="148">
        <v>117.88</v>
      </c>
      <c r="H87" s="148"/>
      <c r="I87" s="148"/>
      <c r="J87" s="148"/>
      <c r="K87" s="148"/>
      <c r="L87" s="148"/>
      <c r="M87" s="149">
        <v>0.71430000000000005</v>
      </c>
    </row>
    <row r="88" spans="1:17" x14ac:dyDescent="0.2">
      <c r="A88" s="193"/>
      <c r="B88" s="193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</row>
    <row r="89" spans="1:17" x14ac:dyDescent="0.2">
      <c r="A89" s="193"/>
      <c r="B89" s="193"/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</row>
    <row r="90" spans="1:17" x14ac:dyDescent="0.2">
      <c r="A90" s="193"/>
      <c r="B90" s="193"/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</row>
    <row r="91" spans="1:17" x14ac:dyDescent="0.2">
      <c r="A91" s="193"/>
      <c r="B91" s="193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</row>
    <row r="92" spans="1:17" x14ac:dyDescent="0.2">
      <c r="A92" s="193"/>
      <c r="B92" s="193"/>
      <c r="C92" s="193"/>
      <c r="D92" s="193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</row>
    <row r="93" spans="1:17" x14ac:dyDescent="0.2">
      <c r="A93" s="193"/>
      <c r="B93" s="193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</row>
    <row r="95" spans="1:17" x14ac:dyDescent="0.2">
      <c r="G95">
        <v>117.28</v>
      </c>
      <c r="M95" s="150">
        <v>0.85709999999999997</v>
      </c>
    </row>
    <row r="96" spans="1:17" x14ac:dyDescent="0.2">
      <c r="A96" s="193"/>
      <c r="B96" s="193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</row>
    <row r="97" spans="1:17" x14ac:dyDescent="0.2">
      <c r="A97" s="193"/>
      <c r="B97" s="193"/>
      <c r="C97" s="193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</row>
    <row r="98" spans="1:17" x14ac:dyDescent="0.2">
      <c r="A98" s="193"/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</row>
    <row r="99" spans="1:17" ht="18" x14ac:dyDescent="0.25">
      <c r="A99" s="179"/>
      <c r="B99" s="179"/>
      <c r="C99" s="182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</row>
    <row r="100" spans="1:17" x14ac:dyDescent="0.2">
      <c r="A100" s="193"/>
      <c r="B100" s="193"/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</row>
    <row r="101" spans="1:17" ht="18" x14ac:dyDescent="0.25">
      <c r="A101" s="193"/>
      <c r="B101" s="193"/>
      <c r="C101" s="229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</row>
    <row r="103" spans="1:17" x14ac:dyDescent="0.2">
      <c r="G103">
        <v>125.14</v>
      </c>
      <c r="M103" s="150">
        <v>0.85709999999999997</v>
      </c>
    </row>
    <row r="104" spans="1:17" ht="18" x14ac:dyDescent="0.25">
      <c r="A104" s="193"/>
      <c r="B104" s="193"/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249"/>
      <c r="O104" s="193"/>
      <c r="P104" s="193"/>
      <c r="Q104" s="193"/>
    </row>
    <row r="105" spans="1:17" x14ac:dyDescent="0.2">
      <c r="A105" s="193"/>
      <c r="B105" s="193"/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</row>
    <row r="106" spans="1:17" x14ac:dyDescent="0.2">
      <c r="A106" s="193"/>
      <c r="B106" s="193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</row>
    <row r="107" spans="1:17" x14ac:dyDescent="0.2">
      <c r="A107" s="193"/>
      <c r="B107" s="193"/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</row>
    <row r="108" spans="1:17" x14ac:dyDescent="0.2">
      <c r="A108" s="193"/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</row>
    <row r="109" spans="1:17" x14ac:dyDescent="0.2">
      <c r="A109" s="193"/>
      <c r="B109" s="193"/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</row>
    <row r="111" spans="1:17" x14ac:dyDescent="0.2">
      <c r="G111">
        <v>125.14</v>
      </c>
      <c r="M111" s="150">
        <v>0.85709999999999997</v>
      </c>
    </row>
    <row r="112" spans="1:17" x14ac:dyDescent="0.2">
      <c r="A112" s="193"/>
      <c r="B112" s="193"/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</row>
    <row r="113" spans="1:17" x14ac:dyDescent="0.2">
      <c r="A113" s="193"/>
      <c r="B113" s="193"/>
      <c r="C113" s="193"/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</row>
    <row r="114" spans="1:17" x14ac:dyDescent="0.2">
      <c r="A114" s="193"/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</row>
    <row r="115" spans="1:17" ht="18" x14ac:dyDescent="0.25">
      <c r="A115" s="179"/>
      <c r="B115" s="179"/>
      <c r="C115" s="182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</row>
    <row r="116" spans="1:17" x14ac:dyDescent="0.2">
      <c r="A116" s="193"/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</row>
    <row r="117" spans="1:17" ht="18" x14ac:dyDescent="0.25">
      <c r="A117" s="159"/>
      <c r="B117" s="159"/>
      <c r="C117" s="228"/>
      <c r="D117" s="159"/>
      <c r="E117" s="159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</row>
    <row r="119" spans="1:17" x14ac:dyDescent="0.2">
      <c r="G119">
        <v>115.73</v>
      </c>
      <c r="M119" s="150">
        <v>0.85709999999999997</v>
      </c>
    </row>
    <row r="120" spans="1:17" ht="18" x14ac:dyDescent="0.25">
      <c r="A120" s="159"/>
      <c r="B120" s="159"/>
      <c r="C120" s="228"/>
      <c r="D120" s="159"/>
      <c r="E120" s="159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</row>
    <row r="121" spans="1:17" x14ac:dyDescent="0.2">
      <c r="A121" s="193"/>
      <c r="B121" s="193"/>
      <c r="C121" s="193"/>
      <c r="D121" s="193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</row>
    <row r="122" spans="1:17" x14ac:dyDescent="0.2">
      <c r="C122" s="183"/>
    </row>
    <row r="123" spans="1:17" x14ac:dyDescent="0.2">
      <c r="C123" s="183"/>
    </row>
    <row r="124" spans="1:17" ht="18" x14ac:dyDescent="0.25">
      <c r="A124" s="193"/>
      <c r="B124" s="193"/>
      <c r="C124" s="229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</row>
    <row r="125" spans="1:17" ht="18" x14ac:dyDescent="0.25">
      <c r="A125" s="193"/>
      <c r="B125" s="193"/>
      <c r="C125" s="229"/>
      <c r="D125" s="193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</row>
    <row r="127" spans="1:17" x14ac:dyDescent="0.2">
      <c r="G127">
        <v>117.31</v>
      </c>
      <c r="M127" s="150">
        <v>0.85709999999999997</v>
      </c>
    </row>
    <row r="128" spans="1:17" x14ac:dyDescent="0.2">
      <c r="A128" s="193"/>
      <c r="B128" s="193"/>
      <c r="C128" s="193"/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</row>
    <row r="129" spans="1:17" x14ac:dyDescent="0.2">
      <c r="A129" s="193"/>
      <c r="B129" s="193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</row>
    <row r="130" spans="1:17" x14ac:dyDescent="0.2">
      <c r="A130" s="179"/>
      <c r="B130" s="179"/>
      <c r="C130" s="255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</row>
    <row r="131" spans="1:17" x14ac:dyDescent="0.2">
      <c r="A131" s="179"/>
      <c r="B131" s="179"/>
      <c r="C131" s="255"/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</row>
    <row r="132" spans="1:17" ht="18" x14ac:dyDescent="0.25">
      <c r="A132" s="193"/>
      <c r="B132" s="193"/>
      <c r="C132" s="249"/>
      <c r="D132" s="193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</row>
    <row r="133" spans="1:17" x14ac:dyDescent="0.2">
      <c r="A133" s="159"/>
      <c r="B133" s="159"/>
      <c r="C133" s="231"/>
      <c r="D133" s="159"/>
      <c r="E133" s="159"/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</row>
    <row r="135" spans="1:17" x14ac:dyDescent="0.2">
      <c r="G135">
        <v>117.31</v>
      </c>
      <c r="M135" s="150">
        <v>0.85709999999999997</v>
      </c>
    </row>
    <row r="136" spans="1:17" x14ac:dyDescent="0.2">
      <c r="A136" s="193"/>
      <c r="B136" s="193"/>
      <c r="C136" s="193"/>
      <c r="D136" s="193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</row>
    <row r="137" spans="1:17" x14ac:dyDescent="0.2">
      <c r="A137" s="193"/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</row>
    <row r="138" spans="1:17" ht="18" x14ac:dyDescent="0.25">
      <c r="A138" s="193"/>
      <c r="B138" s="193"/>
      <c r="C138" s="229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</row>
    <row r="139" spans="1:17" x14ac:dyDescent="0.2">
      <c r="A139" s="193"/>
      <c r="B139" s="193"/>
      <c r="C139" s="193"/>
      <c r="D139" s="193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</row>
    <row r="140" spans="1:17" x14ac:dyDescent="0.2">
      <c r="A140" s="193"/>
      <c r="B140" s="193"/>
      <c r="C140" s="193"/>
      <c r="D140" s="193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</row>
    <row r="141" spans="1:17" x14ac:dyDescent="0.2">
      <c r="A141" s="193"/>
      <c r="B141" s="193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</row>
    <row r="143" spans="1:17" x14ac:dyDescent="0.2">
      <c r="G143">
        <v>117.29</v>
      </c>
      <c r="M143" s="150">
        <v>0.85709999999999997</v>
      </c>
    </row>
    <row r="144" spans="1:17" x14ac:dyDescent="0.2">
      <c r="A144" s="193"/>
      <c r="B144" s="193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</row>
    <row r="146" spans="1:17" x14ac:dyDescent="0.2">
      <c r="A146" s="193"/>
      <c r="B146" s="193"/>
      <c r="C146" s="193"/>
      <c r="D146" s="193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</row>
    <row r="147" spans="1:17" x14ac:dyDescent="0.2">
      <c r="A147" s="193"/>
      <c r="B147" s="193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</row>
    <row r="148" spans="1:17" x14ac:dyDescent="0.2">
      <c r="A148" s="193"/>
      <c r="B148" s="193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</row>
    <row r="149" spans="1:17" ht="18" x14ac:dyDescent="0.25">
      <c r="A149" s="193"/>
      <c r="B149" s="193"/>
      <c r="C149" s="226">
        <v>6</v>
      </c>
      <c r="D149" s="193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</row>
    <row r="151" spans="1:17" x14ac:dyDescent="0.2">
      <c r="G151">
        <v>125.14</v>
      </c>
      <c r="M151" s="150">
        <v>0.71430000000000005</v>
      </c>
    </row>
  </sheetData>
  <mergeCells count="2">
    <mergeCell ref="G4:H4"/>
    <mergeCell ref="F31:H31"/>
  </mergeCells>
  <conditionalFormatting sqref="B9:B24">
    <cfRule type="cellIs" dxfId="1" priority="1" operator="lessThan">
      <formula>0.75</formula>
    </cfRule>
    <cfRule type="cellIs" dxfId="0" priority="2" operator="greaterThan">
      <formula>1.25</formula>
    </cfRule>
  </conditionalFormatting>
  <pageMargins left="0.55118110236220474" right="0.82677165354330717" top="0.15748031496062992" bottom="0.15748031496062992" header="0.31496062992125984" footer="0.31496062992125984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 4 לבקרה </vt:lpstr>
      <vt:lpstr>יחס יח"ד בבניניים</vt:lpstr>
    </vt:vector>
  </TitlesOfParts>
  <Manager/>
  <Company>משרד השיכון ובינוי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יוסי ארד</dc:creator>
  <cp:keywords/>
  <dc:description/>
  <cp:lastModifiedBy>Michal Barak</cp:lastModifiedBy>
  <cp:revision/>
  <cp:lastPrinted>2026-04-21T07:51:02Z</cp:lastPrinted>
  <dcterms:created xsi:type="dcterms:W3CDTF">2014-07-23T12:03:49Z</dcterms:created>
  <dcterms:modified xsi:type="dcterms:W3CDTF">2026-05-31T11:16:05Z</dcterms:modified>
  <cp:category/>
  <cp:contentStatus/>
</cp:coreProperties>
</file>